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brigh\Desktop\"/>
    </mc:Choice>
  </mc:AlternateContent>
  <bookViews>
    <workbookView xWindow="10995" yWindow="45" windowWidth="15750" windowHeight="11760" tabRatio="749"/>
  </bookViews>
  <sheets>
    <sheet name="CIRS Table IDs" sheetId="7" r:id="rId1"/>
    <sheet name="CIRS Triggers" sheetId="8" r:id="rId2"/>
    <sheet name="CIRS EM Test Results" sheetId="9" r:id="rId3"/>
    <sheet name="Compare" sheetId="10" r:id="rId4"/>
    <sheet name="Deep Space Cals" sheetId="11" r:id="rId5"/>
    <sheet name="DSCAL Trigger Edits" sheetId="12" r:id="rId6"/>
    <sheet name="CIRS DSCAL Info" sheetId="13" r:id="rId7"/>
    <sheet name="RWA Data" sheetId="14" r:id="rId8"/>
    <sheet name="Saturn" sheetId="15" r:id="rId9"/>
    <sheet name="Icy Satellites" sheetId="16" r:id="rId10"/>
    <sheet name="Icy Trigger Edits" sheetId="17" r:id="rId11"/>
    <sheet name="Titan" sheetId="18" r:id="rId12"/>
    <sheet name="Titan Data" sheetId="19" r:id="rId13"/>
    <sheet name="Titan Trigger Edits" sheetId="20" r:id="rId14"/>
    <sheet name="Rings" sheetId="21" r:id="rId15"/>
    <sheet name="Rings Trigger Edits" sheetId="22" r:id="rId16"/>
    <sheet name="Table 600" sheetId="26" r:id="rId17"/>
    <sheet name="Table 601" sheetId="27" r:id="rId18"/>
    <sheet name="Table 602" sheetId="28" r:id="rId19"/>
    <sheet name="Table 603" sheetId="29" r:id="rId20"/>
    <sheet name="Table 604" sheetId="30" r:id="rId21"/>
    <sheet name="Table 605" sheetId="31" r:id="rId22"/>
    <sheet name="Table 606" sheetId="32" r:id="rId23"/>
    <sheet name="Table 607" sheetId="33" r:id="rId24"/>
    <sheet name="Table 752" sheetId="35" r:id="rId25"/>
    <sheet name="Table 754" sheetId="36" r:id="rId26"/>
    <sheet name="Table 758" sheetId="88" r:id="rId27"/>
    <sheet name="Table 759" sheetId="89" r:id="rId28"/>
    <sheet name="Table 760" sheetId="90" r:id="rId29"/>
    <sheet name="Table 761" sheetId="37" r:id="rId30"/>
    <sheet name="Table 762" sheetId="38" r:id="rId31"/>
    <sheet name="Table 776" sheetId="39" r:id="rId32"/>
    <sheet name="Table 778" sheetId="40" r:id="rId33"/>
    <sheet name="Table 781" sheetId="41" r:id="rId34"/>
    <sheet name="Table 783" sheetId="42" r:id="rId35"/>
    <sheet name="Table 784" sheetId="91" r:id="rId36"/>
    <sheet name="Table 785" sheetId="43" r:id="rId37"/>
    <sheet name="Table 788" sheetId="44" r:id="rId38"/>
    <sheet name="Table 790" sheetId="45" r:id="rId39"/>
    <sheet name="Table 791" sheetId="46" r:id="rId40"/>
    <sheet name="Table 792" sheetId="47" r:id="rId41"/>
    <sheet name="Table 793" sheetId="48" r:id="rId42"/>
    <sheet name="Table 807" sheetId="49" r:id="rId43"/>
    <sheet name="Table 809" sheetId="50" r:id="rId44"/>
    <sheet name="Table 820" sheetId="51" r:id="rId45"/>
    <sheet name="Table 824" sheetId="52" r:id="rId46"/>
    <sheet name="Table 826" sheetId="53" r:id="rId47"/>
    <sheet name="Table 827" sheetId="54" r:id="rId48"/>
    <sheet name="Table 829" sheetId="87" r:id="rId49"/>
    <sheet name="Table 830" sheetId="55" r:id="rId50"/>
    <sheet name="Table 831" sheetId="56" r:id="rId51"/>
    <sheet name="Table 832" sheetId="57" r:id="rId52"/>
    <sheet name="Table 834" sheetId="92" r:id="rId53"/>
    <sheet name="Table 837" sheetId="58" r:id="rId54"/>
    <sheet name="Table 838" sheetId="97" r:id="rId55"/>
    <sheet name="Table 839" sheetId="59" r:id="rId56"/>
    <sheet name="Table 846" sheetId="60" r:id="rId57"/>
    <sheet name="Table 851" sheetId="93" r:id="rId58"/>
    <sheet name="Table 855" sheetId="61" r:id="rId59"/>
    <sheet name="Table 859" sheetId="62" r:id="rId60"/>
    <sheet name="Table 861" sheetId="63" r:id="rId61"/>
    <sheet name="Table 862" sheetId="64" r:id="rId62"/>
    <sheet name="Table 867" sheetId="65" r:id="rId63"/>
    <sheet name="Table 872" sheetId="96" r:id="rId64"/>
    <sheet name="Table 876" sheetId="66" r:id="rId65"/>
    <sheet name="Table 880" sheetId="67" r:id="rId66"/>
    <sheet name="Table 883" sheetId="68" r:id="rId67"/>
    <sheet name="Table 886" sheetId="69" r:id="rId68"/>
    <sheet name="Table 891" sheetId="70" r:id="rId69"/>
    <sheet name="Table 894" sheetId="94" r:id="rId70"/>
    <sheet name="Table 901" sheetId="71" r:id="rId71"/>
    <sheet name="Table 903" sheetId="72" r:id="rId72"/>
    <sheet name="Table 905" sheetId="73" r:id="rId73"/>
    <sheet name="Table 906" sheetId="74" r:id="rId74"/>
    <sheet name="Table 908" sheetId="75" r:id="rId75"/>
    <sheet name="Table 910" sheetId="76" r:id="rId76"/>
    <sheet name="Table 913" sheetId="77" r:id="rId77"/>
    <sheet name="Table 914" sheetId="78" r:id="rId78"/>
    <sheet name="Table 915" sheetId="79" r:id="rId79"/>
    <sheet name="Table 916" sheetId="80" r:id="rId80"/>
    <sheet name="Table 917" sheetId="81" r:id="rId81"/>
    <sheet name="Table 919" sheetId="82" r:id="rId82"/>
    <sheet name="Table 926" sheetId="95" r:id="rId83"/>
    <sheet name="Table 927" sheetId="83" r:id="rId84"/>
    <sheet name="Table 929" sheetId="84" r:id="rId85"/>
    <sheet name="Table 940" sheetId="85" r:id="rId86"/>
    <sheet name="Table 941" sheetId="86" r:id="rId87"/>
    <sheet name="Table 950" sheetId="98" r:id="rId88"/>
    <sheet name="SSR Load Size" sheetId="23" r:id="rId89"/>
    <sheet name="CIRS SASF Compare" sheetId="24" r:id="rId90"/>
    <sheet name="CIRS Table Info" sheetId="4" r:id="rId91"/>
    <sheet name="No-data table edits" sheetId="34" r:id="rId92"/>
  </sheets>
  <externalReferences>
    <externalReference r:id="rId93"/>
  </externalReferences>
  <definedNames>
    <definedName name="BuiltIn_Print_Titles">'CIRS DSCAL Info'!$5:$8</definedName>
    <definedName name="BuiltIn_Print_Titles___0">'CIRS EM Test Results'!$2:$4</definedName>
    <definedName name="CIMS__S18_Export_2005_09_26" localSheetId="5">#REF!</definedName>
    <definedName name="CIMS__S18_Export_2005_09_26" localSheetId="10">#REF!</definedName>
    <definedName name="CIMS__S18_Export_2005_09_26" localSheetId="15">#REF!</definedName>
    <definedName name="CIMS__S18_Export_2005_09_26" localSheetId="23">#REF!</definedName>
    <definedName name="CIMS__S18_Export_2005_09_26">#REF!</definedName>
    <definedName name="CIMS_2005_04_11_1" localSheetId="5">#REF!</definedName>
    <definedName name="CIMS_2005_04_11_1" localSheetId="10">#REF!</definedName>
    <definedName name="CIMS_2005_04_11_1" localSheetId="15">#REF!</definedName>
    <definedName name="CIMS_2005_04_11_1" localSheetId="23">#REF!</definedName>
    <definedName name="CIMS_2005_04_11_1">#REF!</definedName>
    <definedName name="CIMS_CIRS_2003_10_03" localSheetId="23">#REF!</definedName>
    <definedName name="CIMS_CIRS_2003_10_03">#REF!</definedName>
    <definedName name="CIMS_CIRS_2003_10_03___0" localSheetId="5">Saturn!#REF!</definedName>
    <definedName name="CIMS_CIRS_2003_10_03___0" localSheetId="10">'CIRS DSCAL Info'!#REF!</definedName>
    <definedName name="CIMS_CIRS_2003_10_03___0" localSheetId="15">Saturn!#REF!</definedName>
    <definedName name="CIMS_CIRS_2003_10_03___0" localSheetId="23">[1]Saturn!#REF!</definedName>
    <definedName name="CIMS_CIRS_2003_10_03___0">Saturn!#REF!</definedName>
    <definedName name="CIMS_CIRS_2003_10_03___0___0" localSheetId="23">#REF!</definedName>
    <definedName name="CIMS_CIRS_2003_10_03___0___0">#REF!</definedName>
    <definedName name="CIMS_CIRS_2003_10_03___0___0___0" localSheetId="23">#REF!</definedName>
    <definedName name="CIMS_CIRS_2003_10_03___0___0___0">#REF!</definedName>
    <definedName name="CIMS_CIRS_2003_10_03___8" localSheetId="5">'DSCAL Trigger Edits'!#REF!</definedName>
    <definedName name="CIMS_CIRS_2003_10_03___8" localSheetId="10">'Icy Trigger Edits'!#REF!</definedName>
    <definedName name="CIMS_CIRS_2003_10_03___8" localSheetId="15">'Rings Trigger Edits'!#REF!</definedName>
    <definedName name="CIMS_CIRS_2003_10_03___8" localSheetId="23">'[1]Titan Trigger Edits'!#REF!</definedName>
    <definedName name="CIMS_CIRS_2003_10_03___8">'Titan Trigger Edits'!#REF!</definedName>
    <definedName name="CIMS_CIRS_2003_10_03___8___0">Titan!$B$58:$P$58</definedName>
    <definedName name="CIMS_CIRS_2003_10_03_1" localSheetId="5">'CIRS DSCAL Info'!#REF!</definedName>
    <definedName name="CIMS_CIRS_2003_10_03_1" localSheetId="10">'CIRS DSCAL Info'!#REF!</definedName>
    <definedName name="CIMS_CIRS_2003_10_03_1" localSheetId="15">'CIRS DSCAL Info'!#REF!</definedName>
    <definedName name="CIMS_CIRS_2003_10_03_1" localSheetId="23">'[1]CIRS DSCAL Info'!#REF!</definedName>
    <definedName name="CIMS_CIRS_2003_10_03_1">'CIRS DSCAL Info'!#REF!</definedName>
    <definedName name="CIMS_CIRS_2003_10_03_1___0" localSheetId="5">'CIRS SASF Compare'!#REF!</definedName>
    <definedName name="CIMS_CIRS_2003_10_03_1___0" localSheetId="10">Saturn!#REF!</definedName>
    <definedName name="CIMS_CIRS_2003_10_03_1___0" localSheetId="15">'CIRS Triggers'!#REF!</definedName>
    <definedName name="CIMS_CIRS_2003_10_03_1___0" localSheetId="23">'[1]CIRS EM Test Results'!#REF!</definedName>
    <definedName name="CIMS_CIRS_2003_10_03_1___0">'CIRS EM Test Results'!#REF!</definedName>
    <definedName name="CIMS_CIRS_2003_10_03_1___0___0">#REF!</definedName>
    <definedName name="CIMS_CIRS_2003_10_03_1___0___0___0" localSheetId="23">#REF!</definedName>
    <definedName name="CIMS_CIRS_2003_10_03_1___0___0___0">#REF!</definedName>
    <definedName name="CIMS_CIRS_2003_10_03_1___8" localSheetId="5">'DSCAL Trigger Edits'!#REF!</definedName>
    <definedName name="CIMS_CIRS_2003_10_03_1___8" localSheetId="10">'Icy Trigger Edits'!#REF!</definedName>
    <definedName name="CIMS_CIRS_2003_10_03_1___8" localSheetId="15">'Rings Trigger Edits'!#REF!</definedName>
    <definedName name="CIMS_CIRS_2003_10_03_1___8" localSheetId="23">'[1]Titan Trigger Edits'!#REF!</definedName>
    <definedName name="CIMS_CIRS_2003_10_03_1___8">'Titan Trigger Edits'!#REF!</definedName>
    <definedName name="CIMS_CIRS_2003_10_03_1___8___0">Titan!$B$58:$P$58</definedName>
    <definedName name="CIMS_CIRS_2003_10_03_2" localSheetId="5">'CIRS DSCAL Info'!#REF!</definedName>
    <definedName name="CIMS_CIRS_2003_10_03_2" localSheetId="10">'CIRS DSCAL Info'!#REF!</definedName>
    <definedName name="CIMS_CIRS_2003_10_03_2" localSheetId="15">'CIRS DSCAL Info'!#REF!</definedName>
    <definedName name="CIMS_CIRS_2003_10_03_2" localSheetId="23">'[1]CIRS DSCAL Info'!#REF!</definedName>
    <definedName name="CIMS_CIRS_2003_10_03_2">'CIRS DSCAL Info'!#REF!</definedName>
    <definedName name="CIMS_CIRS_2003_10_03_2___0" localSheetId="5">Saturn!#REF!</definedName>
    <definedName name="CIMS_CIRS_2003_10_03_2___0" localSheetId="10">Saturn!#REF!</definedName>
    <definedName name="CIMS_CIRS_2003_10_03_2___0" localSheetId="15">'CIRS EM Test Results'!#REF!</definedName>
    <definedName name="CIMS_CIRS_2003_10_03_2___0" localSheetId="23">'[1]CIRS EM Test Results'!#REF!</definedName>
    <definedName name="CIMS_CIRS_2003_10_03_2___0">'CIRS EM Test Results'!#REF!</definedName>
    <definedName name="CIMS_CIRS_2003_10_03_2___0___0">#REF!</definedName>
    <definedName name="CIMS_CIRS_2003_10_03_2___0___0___0" localSheetId="23">#REF!</definedName>
    <definedName name="CIMS_CIRS_2003_10_03_2___0___0___0">#REF!</definedName>
    <definedName name="CIMS_CIRS_2003_10_03_2___8" localSheetId="5">'DSCAL Trigger Edits'!#REF!</definedName>
    <definedName name="CIMS_CIRS_2003_10_03_2___8" localSheetId="10">'Icy Trigger Edits'!#REF!</definedName>
    <definedName name="CIMS_CIRS_2003_10_03_2___8" localSheetId="15">'Rings Trigger Edits'!#REF!</definedName>
    <definedName name="CIMS_CIRS_2003_10_03_2___8" localSheetId="23">'[1]Titan Trigger Edits'!#REF!</definedName>
    <definedName name="CIMS_CIRS_2003_10_03_2___8">'Titan Trigger Edits'!#REF!</definedName>
    <definedName name="CIMS_CIRS_2003_10_03_2___8___0">Titan!$B$58:$P$58</definedName>
    <definedName name="CIMS_CIRS_2003_10_03_3" localSheetId="5">'CIRS DSCAL Info'!#REF!</definedName>
    <definedName name="CIMS_CIRS_2003_10_03_3" localSheetId="10">'CIRS DSCAL Info'!#REF!</definedName>
    <definedName name="CIMS_CIRS_2003_10_03_3" localSheetId="15">'CIRS DSCAL Info'!#REF!</definedName>
    <definedName name="CIMS_CIRS_2003_10_03_3" localSheetId="23">'[1]CIRS DSCAL Info'!#REF!</definedName>
    <definedName name="CIMS_CIRS_2003_10_03_3">'CIRS DSCAL Info'!#REF!</definedName>
    <definedName name="CIMS_CIRS_2003_10_03_3___0" localSheetId="5">'CIRS Triggers'!#REF!</definedName>
    <definedName name="CIMS_CIRS_2003_10_03_3___0" localSheetId="10">'CIRS EM Test Results'!#REF!</definedName>
    <definedName name="CIMS_CIRS_2003_10_03_3___0" localSheetId="15">'CIRS EM Test Results'!#REF!</definedName>
    <definedName name="CIMS_CIRS_2003_10_03_3___0" localSheetId="23">'[1]CIRS EM Test Results'!#REF!</definedName>
    <definedName name="CIMS_CIRS_2003_10_03_3___0">'CIRS EM Test Results'!#REF!</definedName>
    <definedName name="CIMS_CIRS_2003_10_03_3___0___0">#REF!</definedName>
    <definedName name="CIMS_CIRS_2003_10_03_3___0___0___0" localSheetId="23">#REF!</definedName>
    <definedName name="CIMS_CIRS_2003_10_03_3___0___0___0">#REF!</definedName>
    <definedName name="CIMS_CIRS_2003_10_03_3___8" localSheetId="5">'DSCAL Trigger Edits'!#REF!</definedName>
    <definedName name="CIMS_CIRS_2003_10_03_3___8" localSheetId="10">'Icy Trigger Edits'!#REF!</definedName>
    <definedName name="CIMS_CIRS_2003_10_03_3___8" localSheetId="15">'Rings Trigger Edits'!#REF!</definedName>
    <definedName name="CIMS_CIRS_2003_10_03_3___8" localSheetId="23">'[1]Titan Trigger Edits'!#REF!</definedName>
    <definedName name="CIMS_CIRS_2003_10_03_3___8">'Titan Trigger Edits'!#REF!</definedName>
    <definedName name="CIMS_CIRS_2003_10_03_3___8___0">Titan!$B$58:$P$58</definedName>
    <definedName name="CIMS_CIRS_2003_10_03_4" localSheetId="5">'CIRS DSCAL Info'!#REF!</definedName>
    <definedName name="CIMS_CIRS_2003_10_03_4" localSheetId="10">'CIRS DSCAL Info'!#REF!</definedName>
    <definedName name="CIMS_CIRS_2003_10_03_4" localSheetId="15">'CIRS DSCAL Info'!#REF!</definedName>
    <definedName name="CIMS_CIRS_2003_10_03_4" localSheetId="23">'[1]CIRS DSCAL Info'!#REF!</definedName>
    <definedName name="CIMS_CIRS_2003_10_03_4">'CIRS DSCAL Info'!#REF!</definedName>
    <definedName name="CIMS_CIRS_2003_10_03_4___0" localSheetId="5">'CIRS EM Test Results'!#REF!</definedName>
    <definedName name="CIMS_CIRS_2003_10_03_4___0" localSheetId="10">'CIRS EM Test Results'!#REF!</definedName>
    <definedName name="CIMS_CIRS_2003_10_03_4___0" localSheetId="15">'CIRS EM Test Results'!#REF!</definedName>
    <definedName name="CIMS_CIRS_2003_10_03_4___0" localSheetId="23">'[1]CIRS EM Test Results'!#REF!</definedName>
    <definedName name="CIMS_CIRS_2003_10_03_4___0">'CIRS EM Test Results'!#REF!</definedName>
    <definedName name="CIMS_CIRS_2003_10_03_4___0___0">#REF!</definedName>
    <definedName name="CIMS_CIRS_2003_10_03_4___0___0___0" localSheetId="23">#REF!</definedName>
    <definedName name="CIMS_CIRS_2003_10_03_4___0___0___0">#REF!</definedName>
    <definedName name="CIMS_CIRS_2003_10_03_4___8" localSheetId="5">'DSCAL Trigger Edits'!#REF!</definedName>
    <definedName name="CIMS_CIRS_2003_10_03_4___8" localSheetId="10">'Icy Trigger Edits'!#REF!</definedName>
    <definedName name="CIMS_CIRS_2003_10_03_4___8" localSheetId="15">'Rings Trigger Edits'!#REF!</definedName>
    <definedName name="CIMS_CIRS_2003_10_03_4___8" localSheetId="23">'[1]Titan Trigger Edits'!#REF!</definedName>
    <definedName name="CIMS_CIRS_2003_10_03_4___8">'Titan Trigger Edits'!#REF!</definedName>
    <definedName name="CIMS_CIRS_2003_10_03_4___8___0">Titan!$B$58:$P$58</definedName>
    <definedName name="CIMS_CIRS_2003_10_03_5">'Icy Satellites'!$B$30:$Q$30</definedName>
    <definedName name="CIMS_CIRS_2003_10_03_5___0">Rings!$B$49:$P$49</definedName>
    <definedName name="CIMS_CIRS_2003_10_03_5___8" localSheetId="5">'DSCAL Trigger Edits'!#REF!</definedName>
    <definedName name="CIMS_CIRS_2003_10_03_5___8" localSheetId="10">'Icy Trigger Edits'!#REF!</definedName>
    <definedName name="CIMS_CIRS_2003_10_03_5___8" localSheetId="15">'Rings Trigger Edits'!#REF!</definedName>
    <definedName name="CIMS_CIRS_2003_10_03_5___8" localSheetId="23">'[1]Titan Trigger Edits'!#REF!</definedName>
    <definedName name="CIMS_CIRS_2003_10_03_5___8">'Titan Trigger Edits'!#REF!</definedName>
    <definedName name="CIMS_CIRS_2003_10_03_5___8___0">Titan!$B$58:$P$58</definedName>
    <definedName name="CIMS_CIRS_2003_10_03_6">Rings!$B$49:$P$49</definedName>
    <definedName name="CIMS_CIRS_2003_10_03_6___8" localSheetId="5">'DSCAL Trigger Edits'!#REF!</definedName>
    <definedName name="CIMS_CIRS_2003_10_03_6___8" localSheetId="10">'Icy Trigger Edits'!#REF!</definedName>
    <definedName name="CIMS_CIRS_2003_10_03_6___8" localSheetId="15">'Rings Trigger Edits'!#REF!</definedName>
    <definedName name="CIMS_CIRS_2003_10_03_6___8" localSheetId="23">'[1]Titan Trigger Edits'!#REF!</definedName>
    <definedName name="CIMS_CIRS_2003_10_03_6___8">'Titan Trigger Edits'!#REF!</definedName>
    <definedName name="CIMS_CIRS_2003_10_03_6___8___0">Titan!$B$58:$P$58</definedName>
    <definedName name="CIMS_CIRS_2003_10_03_7" localSheetId="0">'CIRS Table IDs'!$B$399:$N$399</definedName>
    <definedName name="CIMS_CIRS_2003_11_02" localSheetId="23">#REF!</definedName>
    <definedName name="CIMS_CIRS_2003_11_02">#REF!</definedName>
    <definedName name="CIMS_CIRS_2003_11_02___0" localSheetId="5">'CIRS DSCAL Info'!#REF!</definedName>
    <definedName name="CIMS_CIRS_2003_11_02___0" localSheetId="10">'CIRS DSCAL Info'!#REF!</definedName>
    <definedName name="CIMS_CIRS_2003_11_02___0" localSheetId="15">'CIRS EM Test Results'!#REF!</definedName>
    <definedName name="CIMS_CIRS_2003_11_02___0" localSheetId="23">'[1]CIRS DSCAL Info'!#REF!</definedName>
    <definedName name="CIMS_CIRS_2003_11_02___0">'CIRS DSCAL Info'!#REF!</definedName>
    <definedName name="CIMS_CIRS_2003_11_02___0___0">#REF!</definedName>
    <definedName name="CIMS_CIRS_2003_11_02___0___0___0" localSheetId="23">#REF!</definedName>
    <definedName name="CIMS_CIRS_2003_11_02___0___0___0">#REF!</definedName>
    <definedName name="CIMS_CIRS_2003_11_02___8" localSheetId="5">'DSCAL Trigger Edits'!#REF!</definedName>
    <definedName name="CIMS_CIRS_2003_11_02___8" localSheetId="10">'Icy Trigger Edits'!#REF!</definedName>
    <definedName name="CIMS_CIRS_2003_11_02___8" localSheetId="15">'Rings Trigger Edits'!#REF!</definedName>
    <definedName name="CIMS_CIRS_2003_11_02___8" localSheetId="23">'[1]Titan Trigger Edits'!#REF!</definedName>
    <definedName name="CIMS_CIRS_2003_11_02___8">'Titan Trigger Edits'!#REF!</definedName>
    <definedName name="CIMS_CIRS_2003_11_02___8___0">Titan!$B$58:$N$58</definedName>
    <definedName name="CIMS_CIRS_2003_11_02_1" localSheetId="5">'CIRS DSCAL Info'!#REF!</definedName>
    <definedName name="CIMS_CIRS_2003_11_02_1" localSheetId="10">'CIRS DSCAL Info'!#REF!</definedName>
    <definedName name="CIMS_CIRS_2003_11_02_1" localSheetId="15">'CIRS DSCAL Info'!#REF!</definedName>
    <definedName name="CIMS_CIRS_2003_11_02_1" localSheetId="23">'[1]CIRS DSCAL Info'!#REF!</definedName>
    <definedName name="CIMS_CIRS_2003_11_02_1">'CIRS DSCAL Info'!#REF!</definedName>
    <definedName name="CIMS_CIRS_2003_11_02_1___0" localSheetId="5">'CIRS EM Test Results'!#REF!</definedName>
    <definedName name="CIMS_CIRS_2003_11_02_1___0" localSheetId="10">'CIRS EM Test Results'!#REF!</definedName>
    <definedName name="CIMS_CIRS_2003_11_02_1___0" localSheetId="15">Saturn!#REF!</definedName>
    <definedName name="CIMS_CIRS_2003_11_02_1___0" localSheetId="23">'[1]CIRS EM Test Results'!#REF!</definedName>
    <definedName name="CIMS_CIRS_2003_11_02_1___0">'CIRS EM Test Results'!#REF!</definedName>
    <definedName name="CIMS_CIRS_2003_11_02_1___0___0">#REF!</definedName>
    <definedName name="CIMS_CIRS_2003_11_02_1___0___0___0" localSheetId="23">#REF!</definedName>
    <definedName name="CIMS_CIRS_2003_11_02_1___0___0___0">#REF!</definedName>
    <definedName name="CIMS_CIRS_2003_11_02_1___8" localSheetId="5">'DSCAL Trigger Edits'!#REF!</definedName>
    <definedName name="CIMS_CIRS_2003_11_02_1___8" localSheetId="10">'Icy Trigger Edits'!#REF!</definedName>
    <definedName name="CIMS_CIRS_2003_11_02_1___8" localSheetId="15">'Rings Trigger Edits'!#REF!</definedName>
    <definedName name="CIMS_CIRS_2003_11_02_1___8" localSheetId="23">'[1]Titan Trigger Edits'!#REF!</definedName>
    <definedName name="CIMS_CIRS_2003_11_02_1___8">'Titan Trigger Edits'!#REF!</definedName>
    <definedName name="CIMS_CIRS_2003_11_02_1___8___0">Titan!$B$58:$N$58</definedName>
    <definedName name="CIMS_CIRS_2003_11_02_2" localSheetId="5">'CIRS DSCAL Info'!#REF!</definedName>
    <definedName name="CIMS_CIRS_2003_11_02_2" localSheetId="10">'CIRS DSCAL Info'!#REF!</definedName>
    <definedName name="CIMS_CIRS_2003_11_02_2" localSheetId="15">'CIRS DSCAL Info'!#REF!</definedName>
    <definedName name="CIMS_CIRS_2003_11_02_2" localSheetId="23">'[1]CIRS DSCAL Info'!#REF!</definedName>
    <definedName name="CIMS_CIRS_2003_11_02_2">'CIRS DSCAL Info'!#REF!</definedName>
    <definedName name="CIMS_CIRS_2003_11_02_2___0" localSheetId="5">'CIRS EM Test Results'!#REF!</definedName>
    <definedName name="CIMS_CIRS_2003_11_02_2___0" localSheetId="10">'CIRS EM Test Results'!#REF!</definedName>
    <definedName name="CIMS_CIRS_2003_11_02_2___0" localSheetId="15">Saturn!#REF!</definedName>
    <definedName name="CIMS_CIRS_2003_11_02_2___0" localSheetId="23">'[1]CIRS EM Test Results'!#REF!</definedName>
    <definedName name="CIMS_CIRS_2003_11_02_2___0">'CIRS EM Test Results'!#REF!</definedName>
    <definedName name="CIMS_CIRS_2003_11_02_2___0___0">#REF!</definedName>
    <definedName name="CIMS_CIRS_2003_11_02_2___0___0___0" localSheetId="23">#REF!</definedName>
    <definedName name="CIMS_CIRS_2003_11_02_2___0___0___0">#REF!</definedName>
    <definedName name="CIMS_CIRS_2003_11_02_2___8" localSheetId="5">'DSCAL Trigger Edits'!#REF!</definedName>
    <definedName name="CIMS_CIRS_2003_11_02_2___8" localSheetId="10">'Icy Trigger Edits'!#REF!</definedName>
    <definedName name="CIMS_CIRS_2003_11_02_2___8" localSheetId="15">'Rings Trigger Edits'!#REF!</definedName>
    <definedName name="CIMS_CIRS_2003_11_02_2___8" localSheetId="23">'[1]Titan Trigger Edits'!#REF!</definedName>
    <definedName name="CIMS_CIRS_2003_11_02_2___8">'Titan Trigger Edits'!#REF!</definedName>
    <definedName name="CIMS_CIRS_2003_11_02_2___8___0">Titan!$B$58:$N$58</definedName>
    <definedName name="CIMS_CIRS_2003_11_02_3" localSheetId="5">'CIRS DSCAL Info'!#REF!</definedName>
    <definedName name="CIMS_CIRS_2003_11_02_3" localSheetId="10">'CIRS DSCAL Info'!#REF!</definedName>
    <definedName name="CIMS_CIRS_2003_11_02_3" localSheetId="15">'CIRS DSCAL Info'!#REF!</definedName>
    <definedName name="CIMS_CIRS_2003_11_02_3" localSheetId="23">'[1]CIRS DSCAL Info'!#REF!</definedName>
    <definedName name="CIMS_CIRS_2003_11_02_3">'CIRS DSCAL Info'!#REF!</definedName>
    <definedName name="CIMS_CIRS_2003_11_02_3___0" localSheetId="5">'CIRS EM Test Results'!#REF!</definedName>
    <definedName name="CIMS_CIRS_2003_11_02_3___0" localSheetId="10">'CIRS EM Test Results'!#REF!</definedName>
    <definedName name="CIMS_CIRS_2003_11_02_3___0" localSheetId="15">Saturn!#REF!</definedName>
    <definedName name="CIMS_CIRS_2003_11_02_3___0" localSheetId="23">'[1]CIRS EM Test Results'!#REF!</definedName>
    <definedName name="CIMS_CIRS_2003_11_02_3___0">'CIRS EM Test Results'!#REF!</definedName>
    <definedName name="CIMS_CIRS_2003_11_02_3___0___0">#REF!</definedName>
    <definedName name="CIMS_CIRS_2003_11_02_3___0___0___0" localSheetId="23">#REF!</definedName>
    <definedName name="CIMS_CIRS_2003_11_02_3___0___0___0">#REF!</definedName>
    <definedName name="CIMS_CIRS_2003_11_02_3___8" localSheetId="5">'DSCAL Trigger Edits'!#REF!</definedName>
    <definedName name="CIMS_CIRS_2003_11_02_3___8" localSheetId="10">'Icy Trigger Edits'!#REF!</definedName>
    <definedName name="CIMS_CIRS_2003_11_02_3___8" localSheetId="15">'Rings Trigger Edits'!#REF!</definedName>
    <definedName name="CIMS_CIRS_2003_11_02_3___8" localSheetId="23">'[1]Titan Trigger Edits'!#REF!</definedName>
    <definedName name="CIMS_CIRS_2003_11_02_3___8">'Titan Trigger Edits'!#REF!</definedName>
    <definedName name="CIMS_CIRS_2003_11_02_3___8___0">Titan!$B$58:$N$58</definedName>
    <definedName name="CIMS_CIRS_2003_11_02_4">'Icy Satellites'!$B$30:$N$30</definedName>
    <definedName name="CIMS_CIRS_2003_11_02_4___0">Rings!$B$49:$N$49</definedName>
    <definedName name="CIMS_CIRS_2003_11_02_4___8" localSheetId="5">'DSCAL Trigger Edits'!#REF!</definedName>
    <definedName name="CIMS_CIRS_2003_11_02_4___8" localSheetId="10">'Icy Trigger Edits'!#REF!</definedName>
    <definedName name="CIMS_CIRS_2003_11_02_4___8" localSheetId="15">'Rings Trigger Edits'!#REF!</definedName>
    <definedName name="CIMS_CIRS_2003_11_02_4___8" localSheetId="23">'[1]Titan Trigger Edits'!#REF!</definedName>
    <definedName name="CIMS_CIRS_2003_11_02_4___8">'Titan Trigger Edits'!#REF!</definedName>
    <definedName name="CIMS_CIRS_2003_11_02_4___8___0">Titan!$B$58:$N$58</definedName>
    <definedName name="CIMS_CIRS_2003_11_02_5">Rings!$B$49:$N$49</definedName>
    <definedName name="CIMS_CIRS_2003_11_02_5___8" localSheetId="5">'DSCAL Trigger Edits'!#REF!</definedName>
    <definedName name="CIMS_CIRS_2003_11_02_5___8" localSheetId="10">'Icy Trigger Edits'!#REF!</definedName>
    <definedName name="CIMS_CIRS_2003_11_02_5___8" localSheetId="15">'Rings Trigger Edits'!#REF!</definedName>
    <definedName name="CIMS_CIRS_2003_11_02_5___8" localSheetId="23">'[1]Titan Trigger Edits'!#REF!</definedName>
    <definedName name="CIMS_CIRS_2003_11_02_5___8">'Titan Trigger Edits'!#REF!</definedName>
    <definedName name="CIMS_CIRS_2003_11_02_5___8___0">Titan!$B$58:$N$58</definedName>
    <definedName name="CIMS_CIRS_2003_11_02_6" localSheetId="0">'CIRS Table IDs'!$B$399:$N$399</definedName>
    <definedName name="CIMS_CIRS_2004_03_16" localSheetId="23">#REF!</definedName>
    <definedName name="CIMS_CIRS_2004_03_16">#REF!</definedName>
    <definedName name="CIMS_Export_2005_05_12_2" localSheetId="5">#REF!</definedName>
    <definedName name="CIMS_Export_2005_05_12_2" localSheetId="10">#REF!</definedName>
    <definedName name="CIMS_Export_2005_05_12_2" localSheetId="15">#REF!</definedName>
    <definedName name="CIMS_Export_2005_05_12_2" localSheetId="23">#REF!</definedName>
    <definedName name="CIMS_Export_2005_05_12_2">#REF!</definedName>
    <definedName name="CIMS_Export_2005_08_19_1" localSheetId="5">#REF!</definedName>
    <definedName name="CIMS_Export_2005_08_19_1" localSheetId="10">#REF!</definedName>
    <definedName name="CIMS_Export_2005_08_19_1" localSheetId="15">#REF!</definedName>
    <definedName name="CIMS_Export_2005_08_19_1" localSheetId="23">#REF!</definedName>
    <definedName name="CIMS_Export_2005_08_19_1">#REF!</definedName>
    <definedName name="CIMS_Export_2006_02_16" localSheetId="5">#REF!</definedName>
    <definedName name="CIMS_Export_2006_02_16" localSheetId="10">#REF!</definedName>
    <definedName name="CIMS_Export_2006_02_16" localSheetId="15">#REF!</definedName>
    <definedName name="CIMS_Export_2006_02_16" localSheetId="23">#REF!</definedName>
    <definedName name="CIMS_Export_2006_02_16">#REF!</definedName>
    <definedName name="CIMS_Export_2006_03_27" localSheetId="5">#REF!</definedName>
    <definedName name="CIMS_Export_2006_03_27" localSheetId="10">#REF!</definedName>
    <definedName name="CIMS_Export_2006_03_27" localSheetId="15">#REF!</definedName>
    <definedName name="CIMS_Export_2006_03_27" localSheetId="23">#REF!</definedName>
    <definedName name="CIMS_Export_2006_03_27">#REF!</definedName>
    <definedName name="CIMS_Export_2006_05_07" localSheetId="5">#REF!</definedName>
    <definedName name="CIMS_Export_2006_05_07" localSheetId="10">#REF!</definedName>
    <definedName name="CIMS_Export_2006_05_07" localSheetId="15">#REF!</definedName>
    <definedName name="CIMS_Export_2006_05_07" localSheetId="23">#REF!</definedName>
    <definedName name="CIMS_Export_2006_05_07">#REF!</definedName>
    <definedName name="CIMS_Export_2006_06_01" localSheetId="5">#REF!</definedName>
    <definedName name="CIMS_Export_2006_06_01" localSheetId="10">#REF!</definedName>
    <definedName name="CIMS_Export_2006_06_01" localSheetId="15">#REF!</definedName>
    <definedName name="CIMS_Export_2006_06_01" localSheetId="23">#REF!</definedName>
    <definedName name="CIMS_Export_2006_06_01">#REF!</definedName>
    <definedName name="CIMS_Export_2006_07_09" localSheetId="5">#REF!</definedName>
    <definedName name="CIMS_Export_2006_07_09" localSheetId="10">#REF!</definedName>
    <definedName name="CIMS_Export_2006_07_09" localSheetId="15">#REF!</definedName>
    <definedName name="CIMS_Export_2006_07_09" localSheetId="23">#REF!</definedName>
    <definedName name="CIMS_Export_2006_07_09">#REF!</definedName>
    <definedName name="CIMS_Export_2006_08_03" localSheetId="5">#REF!</definedName>
    <definedName name="CIMS_Export_2006_08_03" localSheetId="10">#REF!</definedName>
    <definedName name="CIMS_Export_2006_08_03" localSheetId="15">#REF!</definedName>
    <definedName name="CIMS_Export_2006_08_03" localSheetId="23">#REF!</definedName>
    <definedName name="CIMS_Export_2006_08_03">#REF!</definedName>
    <definedName name="CIMS_TOL_2005_06_17" localSheetId="5">#REF!</definedName>
    <definedName name="CIMS_TOL_2005_06_17" localSheetId="10">#REF!</definedName>
    <definedName name="CIMS_TOL_2005_06_17" localSheetId="15">#REF!</definedName>
    <definedName name="CIMS_TOL_2005_06_17" localSheetId="23">#REF!</definedName>
    <definedName name="CIMS_TOL_2005_06_17">#REF!</definedName>
    <definedName name="CIMS_TOL_2005_10_31" localSheetId="5">#REF!</definedName>
    <definedName name="CIMS_TOL_2005_10_31" localSheetId="10">#REF!</definedName>
    <definedName name="CIMS_TOL_2005_10_31" localSheetId="15">#REF!</definedName>
    <definedName name="CIMS_TOL_2005_10_31" localSheetId="23">#REF!</definedName>
    <definedName name="CIMS_TOL_2005_10_31">#REF!</definedName>
    <definedName name="CIRS_All_S04_2004_05_17" localSheetId="23">#REF!</definedName>
    <definedName name="CIRS_All_S04_2004_05_17">#REF!</definedName>
    <definedName name="CIRS_S12_2005_02_02_1" localSheetId="5">#REF!</definedName>
    <definedName name="CIRS_S12_2005_02_02_1" localSheetId="10">#REF!</definedName>
    <definedName name="CIRS_S12_2005_02_02_1" localSheetId="15">#REF!</definedName>
    <definedName name="CIRS_S12_2005_02_02_1" localSheetId="23">#REF!</definedName>
    <definedName name="CIRS_S12_2005_02_02_1">#REF!</definedName>
    <definedName name="CIRS_S20_2005_12_30" localSheetId="5">#REF!</definedName>
    <definedName name="CIRS_S20_2005_12_30" localSheetId="10">#REF!</definedName>
    <definedName name="CIRS_S20_2005_12_30" localSheetId="15">#REF!</definedName>
    <definedName name="CIRS_S20_2005_12_30" localSheetId="23">#REF!</definedName>
    <definedName name="CIRS_S20_2005_12_30">#REF!</definedName>
    <definedName name="_xlnm.Print_Titles" localSheetId="90">'CIRS Table Info'!$3:$4</definedName>
    <definedName name="Rev_003_2004_09_16_2" localSheetId="5">#REF!</definedName>
    <definedName name="Rev_003_2004_09_16_2" localSheetId="10">#REF!</definedName>
    <definedName name="Rev_003_2004_09_16_2" localSheetId="15">#REF!</definedName>
    <definedName name="Rev_003_2004_09_16_2" localSheetId="23">#REF!</definedName>
    <definedName name="Rev_003_2004_09_16_2">#REF!</definedName>
    <definedName name="Rev_00c_2004_09_16_1" localSheetId="5">#REF!</definedName>
    <definedName name="Rev_00c_2004_09_16_1" localSheetId="10">#REF!</definedName>
    <definedName name="Rev_00c_2004_09_16_1" localSheetId="15">#REF!</definedName>
    <definedName name="Rev_00c_2004_09_16_1" localSheetId="23">#REF!</definedName>
    <definedName name="Rev_00c_2004_09_16_1">#REF!</definedName>
    <definedName name="S05_2004_06_22" localSheetId="5">#REF!</definedName>
    <definedName name="S05_2004_06_22" localSheetId="10">#REF!</definedName>
    <definedName name="S05_2004_06_22" localSheetId="15">#REF!</definedName>
    <definedName name="S05_2004_06_22" localSheetId="23">#REF!</definedName>
    <definedName name="S05_2004_06_22">#REF!</definedName>
    <definedName name="S09_2004_09_27_2" localSheetId="5">#REF!</definedName>
    <definedName name="S09_2004_09_27_2" localSheetId="10">#REF!</definedName>
    <definedName name="S09_2004_09_27_2" localSheetId="15">#REF!</definedName>
    <definedName name="S09_2004_09_27_2" localSheetId="23">#REF!</definedName>
    <definedName name="S09_2004_09_27_2">#REF!</definedName>
    <definedName name="S10_2004_11_15_1" localSheetId="5">#REF!</definedName>
    <definedName name="S10_2004_11_15_1" localSheetId="10">#REF!</definedName>
    <definedName name="S10_2004_11_15_1" localSheetId="15">#REF!</definedName>
    <definedName name="S10_2004_11_15_1" localSheetId="23">#REF!</definedName>
    <definedName name="S10_2004_11_15_1">#REF!</definedName>
    <definedName name="S10_2004_11_15_2" localSheetId="23">#REF!</definedName>
    <definedName name="S10_2004_11_15_2">#REF!</definedName>
    <definedName name="S10_2004_11_15_2___0" localSheetId="5">#REF!</definedName>
    <definedName name="S10_2004_11_15_2___0" localSheetId="10">#REF!</definedName>
    <definedName name="S10_2004_11_15_2___0" localSheetId="15">#REF!</definedName>
    <definedName name="S10_2004_11_15_2___0" localSheetId="23">#REF!</definedName>
    <definedName name="S10_2004_11_15_2___0">#REF!</definedName>
    <definedName name="S11_2004_12_29_1" localSheetId="5">#REF!</definedName>
    <definedName name="S11_2004_12_29_1" localSheetId="10">#REF!</definedName>
    <definedName name="S11_2004_12_29_1" localSheetId="15">#REF!</definedName>
    <definedName name="S11_2004_12_29_1" localSheetId="23">#REF!</definedName>
    <definedName name="S11_2004_12_29_1">#REF!</definedName>
    <definedName name="S97_SIP_Port3_rwa_summary_160927_144247" localSheetId="7">'RWA Data'!$C$7:$O$202</definedName>
    <definedName name="TransExp_Req_CIRS_2004_07_16" localSheetId="5">#REF!</definedName>
    <definedName name="TransExp_Req_CIRS_2004_07_16" localSheetId="10">#REF!</definedName>
    <definedName name="TransExp_Req_CIRS_2004_07_16" localSheetId="15">#REF!</definedName>
    <definedName name="TransExp_Req_CIRS_2004_07_16" localSheetId="23">#REF!</definedName>
    <definedName name="TransExp_Req_CIRS_2004_07_16">#REF!</definedName>
  </definedNames>
  <calcPr calcId="152511"/>
  <fileRecoveryPr repairLoad="1"/>
</workbook>
</file>

<file path=xl/calcChain.xml><?xml version="1.0" encoding="utf-8"?>
<calcChain xmlns="http://schemas.openxmlformats.org/spreadsheetml/2006/main">
  <c r="H362" i="24" l="1"/>
  <c r="E363" i="24" s="1"/>
  <c r="H356" i="24"/>
  <c r="H357" i="24" l="1"/>
  <c r="H307" i="24" l="1"/>
  <c r="H305" i="24"/>
  <c r="D306" i="24" s="1"/>
  <c r="E307" i="24"/>
  <c r="D307" i="24"/>
  <c r="E305" i="24"/>
  <c r="D305" i="24"/>
  <c r="J306" i="24"/>
  <c r="J307" i="24"/>
  <c r="K51" i="16"/>
  <c r="P51" i="16" s="1"/>
  <c r="A51" i="16"/>
  <c r="B51" i="16"/>
  <c r="L51" i="16" s="1"/>
  <c r="C51" i="16"/>
  <c r="H21" i="16"/>
  <c r="C21" i="16"/>
  <c r="I219" i="13"/>
  <c r="G213" i="13"/>
  <c r="D213" i="13" s="1"/>
  <c r="J132" i="13"/>
  <c r="D132" i="13"/>
  <c r="G127" i="9"/>
  <c r="D127" i="9"/>
  <c r="J127" i="9" s="1"/>
  <c r="L257" i="7"/>
  <c r="K257" i="7"/>
  <c r="J257" i="7"/>
  <c r="I257" i="7" s="1"/>
  <c r="F257" i="7"/>
  <c r="E257" i="7"/>
  <c r="L255" i="7"/>
  <c r="K255" i="7"/>
  <c r="J255" i="7"/>
  <c r="I255" i="7"/>
  <c r="F255" i="7"/>
  <c r="H255" i="7" s="1"/>
  <c r="E255" i="7"/>
  <c r="D255" i="7"/>
  <c r="C255" i="7" s="1"/>
  <c r="L253" i="7"/>
  <c r="K253" i="7"/>
  <c r="J253" i="7"/>
  <c r="I253" i="7" s="1"/>
  <c r="F253" i="7"/>
  <c r="E253" i="7"/>
  <c r="D253" i="7"/>
  <c r="H256" i="7"/>
  <c r="G256" i="7"/>
  <c r="C253" i="7" l="1"/>
  <c r="H257" i="7"/>
  <c r="G253" i="7"/>
  <c r="G255" i="7"/>
  <c r="F51" i="16"/>
  <c r="H253" i="7"/>
  <c r="H429" i="24"/>
  <c r="H430" i="24"/>
  <c r="H431" i="24"/>
  <c r="H432" i="24"/>
  <c r="H428" i="24"/>
  <c r="J429" i="24"/>
  <c r="J430" i="24"/>
  <c r="J431" i="24"/>
  <c r="J432" i="24"/>
  <c r="J433" i="24"/>
  <c r="H278" i="24" l="1"/>
  <c r="H275" i="24"/>
  <c r="H276" i="24"/>
  <c r="H277" i="24"/>
  <c r="H274" i="24"/>
  <c r="J275" i="24"/>
  <c r="J276" i="24"/>
  <c r="J277" i="24"/>
  <c r="J278" i="24"/>
  <c r="H268" i="24"/>
  <c r="H265" i="24"/>
  <c r="H266" i="24"/>
  <c r="H267" i="24"/>
  <c r="H264" i="24"/>
  <c r="J265" i="24"/>
  <c r="J266" i="24"/>
  <c r="J267" i="24"/>
  <c r="J268" i="24"/>
  <c r="J198" i="24" l="1"/>
  <c r="J197" i="24"/>
  <c r="J196" i="24"/>
  <c r="H198" i="24"/>
  <c r="H197" i="24"/>
  <c r="H196" i="24"/>
  <c r="H21" i="24" l="1"/>
  <c r="H22" i="24"/>
  <c r="H23" i="24"/>
  <c r="H24" i="24"/>
  <c r="H25" i="24"/>
  <c r="H26" i="24"/>
  <c r="H27" i="24"/>
  <c r="H20" i="24"/>
  <c r="J28" i="24"/>
  <c r="J27" i="24"/>
  <c r="J26" i="24"/>
  <c r="J25" i="24"/>
  <c r="J24" i="24"/>
  <c r="J23" i="24"/>
  <c r="J22" i="24"/>
  <c r="J21" i="24"/>
  <c r="H200" i="9" l="1"/>
  <c r="B200" i="9"/>
  <c r="D177" i="9" l="1"/>
  <c r="J177" i="9" s="1"/>
  <c r="D178" i="9"/>
  <c r="J178" i="9" s="1"/>
  <c r="D179" i="9"/>
  <c r="J179" i="9" s="1"/>
  <c r="D180" i="9"/>
  <c r="J180" i="9" s="1"/>
  <c r="D181" i="9"/>
  <c r="J181" i="9" s="1"/>
  <c r="D182" i="9"/>
  <c r="D183" i="9"/>
  <c r="D184" i="9"/>
  <c r="J184" i="9" s="1"/>
  <c r="D185" i="9"/>
  <c r="J185" i="9" s="1"/>
  <c r="D186" i="9"/>
  <c r="J186" i="9" s="1"/>
  <c r="D187" i="9"/>
  <c r="J187" i="9" s="1"/>
  <c r="D188" i="9"/>
  <c r="J188" i="9" s="1"/>
  <c r="D189" i="9"/>
  <c r="J189" i="9" s="1"/>
  <c r="D190" i="9"/>
  <c r="D191" i="9"/>
  <c r="J191" i="9" s="1"/>
  <c r="D192" i="9"/>
  <c r="J192" i="9" s="1"/>
  <c r="D193" i="9"/>
  <c r="J193" i="9" s="1"/>
  <c r="D194" i="9"/>
  <c r="J194" i="9" s="1"/>
  <c r="D195" i="9"/>
  <c r="J195" i="9" s="1"/>
  <c r="D196" i="9"/>
  <c r="J196" i="9" s="1"/>
  <c r="D197" i="9"/>
  <c r="J197" i="9" s="1"/>
  <c r="J182" i="9"/>
  <c r="J183" i="9"/>
  <c r="J190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D7" i="24" l="1"/>
  <c r="E6" i="24"/>
  <c r="H6" i="24" s="1"/>
  <c r="E7" i="24" s="1"/>
  <c r="M460" i="24"/>
  <c r="L460" i="24"/>
  <c r="M459" i="24"/>
  <c r="L459" i="24"/>
  <c r="M458" i="24"/>
  <c r="L458" i="24"/>
  <c r="M457" i="24"/>
  <c r="L457" i="24"/>
  <c r="M456" i="24"/>
  <c r="L456" i="24"/>
  <c r="M455" i="24"/>
  <c r="L455" i="24"/>
  <c r="M454" i="24"/>
  <c r="L454" i="24"/>
  <c r="M453" i="24"/>
  <c r="L453" i="24"/>
  <c r="M452" i="24"/>
  <c r="L452" i="24"/>
  <c r="M451" i="24"/>
  <c r="L451" i="24"/>
  <c r="M450" i="24"/>
  <c r="L450" i="24"/>
  <c r="M449" i="24"/>
  <c r="L449" i="24"/>
  <c r="M448" i="24"/>
  <c r="L448" i="24"/>
  <c r="M447" i="24"/>
  <c r="L447" i="24"/>
  <c r="M446" i="24"/>
  <c r="L446" i="24"/>
  <c r="M445" i="24"/>
  <c r="L445" i="24"/>
  <c r="M444" i="24"/>
  <c r="L444" i="24"/>
  <c r="M443" i="24"/>
  <c r="L443" i="24"/>
  <c r="M442" i="24"/>
  <c r="L442" i="24"/>
  <c r="M441" i="24"/>
  <c r="L441" i="24"/>
  <c r="M440" i="24"/>
  <c r="L440" i="24"/>
  <c r="M439" i="24"/>
  <c r="L439" i="24"/>
  <c r="M438" i="24"/>
  <c r="L438" i="24"/>
  <c r="M437" i="24"/>
  <c r="L437" i="24"/>
  <c r="M436" i="24"/>
  <c r="L436" i="24"/>
  <c r="M435" i="24"/>
  <c r="L435" i="24"/>
  <c r="M434" i="24"/>
  <c r="L434" i="24"/>
  <c r="M428" i="24"/>
  <c r="L428" i="24"/>
  <c r="M427" i="24"/>
  <c r="L427" i="24"/>
  <c r="M426" i="24"/>
  <c r="L426" i="24"/>
  <c r="M425" i="24"/>
  <c r="L425" i="24"/>
  <c r="M424" i="24"/>
  <c r="L424" i="24"/>
  <c r="M423" i="24"/>
  <c r="L423" i="24"/>
  <c r="M422" i="24"/>
  <c r="L422" i="24"/>
  <c r="M421" i="24"/>
  <c r="L421" i="24"/>
  <c r="M420" i="24"/>
  <c r="L420" i="24"/>
  <c r="M419" i="24"/>
  <c r="L419" i="24"/>
  <c r="M418" i="24"/>
  <c r="L418" i="24"/>
  <c r="M417" i="24"/>
  <c r="L417" i="24"/>
  <c r="M416" i="24"/>
  <c r="L416" i="24"/>
  <c r="M415" i="24"/>
  <c r="L415" i="24"/>
  <c r="M414" i="24"/>
  <c r="L414" i="24"/>
  <c r="M413" i="24"/>
  <c r="L413" i="24"/>
  <c r="M412" i="24"/>
  <c r="L412" i="24"/>
  <c r="M411" i="24"/>
  <c r="L411" i="24"/>
  <c r="M410" i="24"/>
  <c r="L410" i="24"/>
  <c r="M409" i="24"/>
  <c r="L409" i="24"/>
  <c r="M408" i="24"/>
  <c r="L408" i="24"/>
  <c r="M407" i="24"/>
  <c r="L407" i="24"/>
  <c r="M406" i="24"/>
  <c r="L406" i="24"/>
  <c r="M405" i="24"/>
  <c r="L405" i="24"/>
  <c r="M404" i="24"/>
  <c r="L404" i="24"/>
  <c r="M403" i="24"/>
  <c r="L403" i="24"/>
  <c r="M402" i="24"/>
  <c r="L402" i="24"/>
  <c r="M401" i="24"/>
  <c r="L401" i="24"/>
  <c r="M400" i="24"/>
  <c r="L400" i="24"/>
  <c r="M399" i="24"/>
  <c r="L399" i="24"/>
  <c r="M398" i="24"/>
  <c r="L398" i="24"/>
  <c r="M397" i="24"/>
  <c r="L397" i="24"/>
  <c r="M396" i="24"/>
  <c r="L396" i="24"/>
  <c r="M395" i="24"/>
  <c r="L395" i="24"/>
  <c r="M394" i="24"/>
  <c r="L394" i="24"/>
  <c r="M393" i="24"/>
  <c r="L393" i="24"/>
  <c r="M392" i="24"/>
  <c r="L392" i="24"/>
  <c r="M391" i="24"/>
  <c r="L391" i="24"/>
  <c r="M390" i="24"/>
  <c r="L390" i="24"/>
  <c r="M389" i="24"/>
  <c r="L389" i="24"/>
  <c r="M388" i="24"/>
  <c r="L388" i="24"/>
  <c r="M387" i="24"/>
  <c r="L387" i="24"/>
  <c r="M386" i="24"/>
  <c r="L386" i="24"/>
  <c r="M385" i="24"/>
  <c r="L385" i="24"/>
  <c r="M384" i="24"/>
  <c r="L384" i="24"/>
  <c r="M383" i="24"/>
  <c r="L383" i="24"/>
  <c r="M382" i="24"/>
  <c r="L382" i="24"/>
  <c r="M381" i="24"/>
  <c r="L381" i="24"/>
  <c r="M380" i="24"/>
  <c r="L380" i="24"/>
  <c r="M379" i="24"/>
  <c r="L379" i="24"/>
  <c r="M378" i="24"/>
  <c r="L378" i="24"/>
  <c r="M377" i="24"/>
  <c r="L377" i="24"/>
  <c r="M376" i="24"/>
  <c r="L376" i="24"/>
  <c r="M375" i="24"/>
  <c r="L375" i="24"/>
  <c r="M374" i="24"/>
  <c r="L374" i="24"/>
  <c r="M373" i="24"/>
  <c r="L373" i="24"/>
  <c r="M372" i="24"/>
  <c r="L372" i="24"/>
  <c r="M371" i="24"/>
  <c r="L371" i="24"/>
  <c r="M370" i="24"/>
  <c r="L370" i="24"/>
  <c r="M369" i="24"/>
  <c r="L369" i="24"/>
  <c r="M368" i="24"/>
  <c r="L368" i="24"/>
  <c r="M367" i="24"/>
  <c r="L367" i="24"/>
  <c r="M366" i="24"/>
  <c r="L366" i="24"/>
  <c r="M365" i="24"/>
  <c r="L365" i="24"/>
  <c r="M364" i="24"/>
  <c r="L364" i="24"/>
  <c r="M363" i="24"/>
  <c r="L363" i="24"/>
  <c r="M362" i="24"/>
  <c r="L362" i="24"/>
  <c r="M361" i="24"/>
  <c r="L361" i="24"/>
  <c r="M360" i="24"/>
  <c r="L360" i="24"/>
  <c r="M359" i="24"/>
  <c r="L359" i="24"/>
  <c r="M358" i="24"/>
  <c r="L358" i="24"/>
  <c r="M357" i="24"/>
  <c r="L357" i="24"/>
  <c r="M356" i="24"/>
  <c r="L356" i="24"/>
  <c r="M355" i="24"/>
  <c r="L355" i="24"/>
  <c r="M354" i="24"/>
  <c r="L354" i="24"/>
  <c r="M353" i="24"/>
  <c r="L353" i="24"/>
  <c r="M352" i="24"/>
  <c r="L352" i="24"/>
  <c r="M351" i="24"/>
  <c r="L351" i="24"/>
  <c r="M350" i="24"/>
  <c r="L350" i="24"/>
  <c r="M349" i="24"/>
  <c r="L349" i="24"/>
  <c r="M348" i="24"/>
  <c r="L348" i="24"/>
  <c r="M347" i="24"/>
  <c r="L347" i="24"/>
  <c r="M346" i="24"/>
  <c r="L346" i="24"/>
  <c r="M345" i="24"/>
  <c r="L345" i="24"/>
  <c r="M344" i="24"/>
  <c r="L344" i="24"/>
  <c r="M343" i="24"/>
  <c r="L343" i="24"/>
  <c r="M342" i="24"/>
  <c r="L342" i="24"/>
  <c r="M341" i="24"/>
  <c r="L341" i="24"/>
  <c r="M340" i="24"/>
  <c r="L340" i="24"/>
  <c r="M339" i="24"/>
  <c r="L339" i="24"/>
  <c r="M338" i="24"/>
  <c r="L338" i="24"/>
  <c r="M337" i="24"/>
  <c r="L337" i="24"/>
  <c r="M336" i="24"/>
  <c r="L336" i="24"/>
  <c r="M335" i="24"/>
  <c r="L335" i="24"/>
  <c r="M334" i="24"/>
  <c r="L334" i="24"/>
  <c r="M333" i="24"/>
  <c r="L333" i="24"/>
  <c r="M332" i="24"/>
  <c r="L332" i="24"/>
  <c r="M331" i="24"/>
  <c r="L331" i="24"/>
  <c r="M330" i="24"/>
  <c r="L330" i="24"/>
  <c r="M329" i="24"/>
  <c r="L329" i="24"/>
  <c r="M328" i="24"/>
  <c r="L328" i="24"/>
  <c r="M327" i="24"/>
  <c r="L327" i="24"/>
  <c r="M326" i="24"/>
  <c r="L326" i="24"/>
  <c r="M325" i="24"/>
  <c r="L325" i="24"/>
  <c r="M324" i="24"/>
  <c r="L324" i="24"/>
  <c r="M323" i="24"/>
  <c r="L323" i="24"/>
  <c r="M322" i="24"/>
  <c r="L322" i="24"/>
  <c r="M321" i="24"/>
  <c r="L321" i="24"/>
  <c r="M320" i="24"/>
  <c r="L320" i="24"/>
  <c r="M319" i="24"/>
  <c r="L319" i="24"/>
  <c r="M318" i="24"/>
  <c r="L318" i="24"/>
  <c r="M317" i="24"/>
  <c r="L317" i="24"/>
  <c r="M316" i="24"/>
  <c r="L316" i="24"/>
  <c r="M315" i="24"/>
  <c r="L315" i="24"/>
  <c r="M314" i="24"/>
  <c r="L314" i="24"/>
  <c r="M313" i="24"/>
  <c r="L313" i="24"/>
  <c r="M312" i="24"/>
  <c r="L312" i="24"/>
  <c r="M311" i="24"/>
  <c r="L311" i="24"/>
  <c r="M310" i="24"/>
  <c r="L310" i="24"/>
  <c r="M309" i="24"/>
  <c r="L309" i="24"/>
  <c r="M308" i="24"/>
  <c r="L308" i="24"/>
  <c r="M305" i="24"/>
  <c r="L305" i="24"/>
  <c r="M304" i="24"/>
  <c r="L304" i="24"/>
  <c r="M303" i="24"/>
  <c r="L303" i="24"/>
  <c r="M302" i="24"/>
  <c r="L302" i="24"/>
  <c r="M301" i="24"/>
  <c r="L301" i="24"/>
  <c r="M300" i="24"/>
  <c r="L300" i="24"/>
  <c r="M299" i="24"/>
  <c r="L299" i="24"/>
  <c r="M298" i="24"/>
  <c r="L298" i="24"/>
  <c r="M297" i="24"/>
  <c r="L297" i="24"/>
  <c r="M296" i="24"/>
  <c r="L296" i="24"/>
  <c r="M295" i="24"/>
  <c r="L295" i="24"/>
  <c r="M294" i="24"/>
  <c r="L294" i="24"/>
  <c r="M293" i="24"/>
  <c r="L293" i="24"/>
  <c r="M292" i="24"/>
  <c r="L292" i="24"/>
  <c r="M291" i="24"/>
  <c r="L291" i="24"/>
  <c r="M290" i="24"/>
  <c r="L290" i="24"/>
  <c r="M289" i="24"/>
  <c r="L289" i="24"/>
  <c r="M288" i="24"/>
  <c r="L288" i="24"/>
  <c r="M287" i="24"/>
  <c r="L287" i="24"/>
  <c r="M286" i="24"/>
  <c r="L286" i="24"/>
  <c r="M285" i="24"/>
  <c r="L285" i="24"/>
  <c r="M284" i="24"/>
  <c r="L284" i="24"/>
  <c r="M283" i="24"/>
  <c r="L283" i="24"/>
  <c r="M282" i="24"/>
  <c r="L282" i="24"/>
  <c r="M281" i="24"/>
  <c r="L281" i="24"/>
  <c r="M280" i="24"/>
  <c r="L280" i="24"/>
  <c r="M279" i="24"/>
  <c r="L279" i="24"/>
  <c r="M274" i="24"/>
  <c r="L274" i="24"/>
  <c r="M273" i="24"/>
  <c r="L273" i="24"/>
  <c r="M272" i="24"/>
  <c r="L272" i="24"/>
  <c r="M271" i="24"/>
  <c r="L271" i="24"/>
  <c r="M270" i="24"/>
  <c r="L270" i="24"/>
  <c r="M269" i="24"/>
  <c r="L269" i="24"/>
  <c r="M264" i="24"/>
  <c r="L264" i="24"/>
  <c r="M263" i="24"/>
  <c r="L263" i="24"/>
  <c r="M262" i="24"/>
  <c r="L262" i="24"/>
  <c r="M261" i="24"/>
  <c r="L261" i="24"/>
  <c r="M260" i="24"/>
  <c r="L260" i="24"/>
  <c r="M259" i="24"/>
  <c r="L259" i="24"/>
  <c r="M258" i="24"/>
  <c r="L258" i="24"/>
  <c r="M257" i="24"/>
  <c r="L257" i="24"/>
  <c r="M256" i="24"/>
  <c r="L256" i="24"/>
  <c r="M255" i="24"/>
  <c r="L255" i="24"/>
  <c r="M254" i="24"/>
  <c r="L254" i="24"/>
  <c r="M253" i="24"/>
  <c r="L253" i="24"/>
  <c r="M252" i="24"/>
  <c r="L252" i="24"/>
  <c r="M251" i="24"/>
  <c r="L251" i="24"/>
  <c r="M250" i="24"/>
  <c r="L250" i="24"/>
  <c r="M249" i="24"/>
  <c r="L249" i="24"/>
  <c r="M248" i="24"/>
  <c r="L248" i="24"/>
  <c r="M247" i="24"/>
  <c r="L247" i="24"/>
  <c r="M246" i="24"/>
  <c r="L246" i="24"/>
  <c r="M245" i="24"/>
  <c r="L245" i="24"/>
  <c r="M244" i="24"/>
  <c r="L244" i="24"/>
  <c r="M243" i="24"/>
  <c r="L243" i="24"/>
  <c r="M242" i="24"/>
  <c r="L242" i="24"/>
  <c r="M241" i="24"/>
  <c r="L241" i="24"/>
  <c r="M240" i="24"/>
  <c r="L240" i="24"/>
  <c r="M239" i="24"/>
  <c r="L239" i="24"/>
  <c r="M238" i="24"/>
  <c r="L238" i="24"/>
  <c r="M237" i="24"/>
  <c r="L237" i="24"/>
  <c r="M236" i="24"/>
  <c r="L236" i="24"/>
  <c r="M235" i="24"/>
  <c r="L235" i="24"/>
  <c r="M234" i="24"/>
  <c r="L234" i="24"/>
  <c r="M233" i="24"/>
  <c r="L233" i="24"/>
  <c r="M232" i="24"/>
  <c r="L232" i="24"/>
  <c r="M231" i="24"/>
  <c r="L231" i="24"/>
  <c r="M230" i="24"/>
  <c r="L230" i="24"/>
  <c r="M229" i="24"/>
  <c r="L229" i="24"/>
  <c r="M228" i="24"/>
  <c r="L228" i="24"/>
  <c r="M227" i="24"/>
  <c r="L227" i="24"/>
  <c r="M226" i="24"/>
  <c r="L226" i="24"/>
  <c r="M225" i="24"/>
  <c r="L225" i="24"/>
  <c r="M224" i="24"/>
  <c r="L224" i="24"/>
  <c r="M223" i="24"/>
  <c r="L223" i="24"/>
  <c r="M222" i="24"/>
  <c r="L222" i="24"/>
  <c r="M221" i="24"/>
  <c r="L221" i="24"/>
  <c r="M220" i="24"/>
  <c r="L220" i="24"/>
  <c r="M219" i="24"/>
  <c r="L219" i="24"/>
  <c r="M218" i="24"/>
  <c r="L218" i="24"/>
  <c r="M217" i="24"/>
  <c r="L217" i="24"/>
  <c r="M216" i="24"/>
  <c r="L216" i="24"/>
  <c r="M215" i="24"/>
  <c r="L215" i="24"/>
  <c r="M214" i="24"/>
  <c r="L214" i="24"/>
  <c r="M213" i="24"/>
  <c r="L213" i="24"/>
  <c r="M212" i="24"/>
  <c r="L212" i="24"/>
  <c r="M211" i="24"/>
  <c r="L211" i="24"/>
  <c r="M210" i="24"/>
  <c r="L210" i="24"/>
  <c r="M209" i="24"/>
  <c r="L209" i="24"/>
  <c r="M208" i="24"/>
  <c r="L208" i="24"/>
  <c r="M207" i="24"/>
  <c r="L207" i="24"/>
  <c r="M206" i="24"/>
  <c r="L206" i="24"/>
  <c r="M205" i="24"/>
  <c r="L205" i="24"/>
  <c r="M204" i="24"/>
  <c r="L204" i="24"/>
  <c r="M203" i="24"/>
  <c r="L203" i="24"/>
  <c r="M202" i="24"/>
  <c r="L202" i="24"/>
  <c r="M201" i="24"/>
  <c r="L201" i="24"/>
  <c r="M200" i="24"/>
  <c r="L200" i="24"/>
  <c r="M199" i="24"/>
  <c r="L199" i="24"/>
  <c r="M196" i="24"/>
  <c r="L196" i="24"/>
  <c r="M195" i="24"/>
  <c r="L195" i="24"/>
  <c r="M194" i="24"/>
  <c r="L194" i="24"/>
  <c r="M193" i="24"/>
  <c r="L193" i="24"/>
  <c r="M192" i="24"/>
  <c r="L192" i="24"/>
  <c r="M191" i="24"/>
  <c r="L191" i="24"/>
  <c r="M190" i="24"/>
  <c r="L190" i="24"/>
  <c r="M189" i="24"/>
  <c r="L189" i="24"/>
  <c r="M188" i="24"/>
  <c r="L188" i="24"/>
  <c r="M187" i="24"/>
  <c r="L187" i="24"/>
  <c r="M186" i="24"/>
  <c r="L186" i="24"/>
  <c r="M185" i="24"/>
  <c r="L185" i="24"/>
  <c r="M184" i="24"/>
  <c r="L184" i="24"/>
  <c r="M183" i="24"/>
  <c r="L183" i="24"/>
  <c r="M182" i="24"/>
  <c r="L182" i="24"/>
  <c r="M181" i="24"/>
  <c r="L181" i="24"/>
  <c r="M180" i="24"/>
  <c r="L180" i="24"/>
  <c r="M179" i="24"/>
  <c r="L179" i="24"/>
  <c r="M178" i="24"/>
  <c r="L178" i="24"/>
  <c r="M177" i="24"/>
  <c r="L177" i="24"/>
  <c r="M176" i="24"/>
  <c r="L176" i="24"/>
  <c r="M175" i="24"/>
  <c r="L175" i="24"/>
  <c r="M174" i="24"/>
  <c r="L174" i="24"/>
  <c r="M173" i="24"/>
  <c r="L173" i="24"/>
  <c r="M172" i="24"/>
  <c r="L172" i="24"/>
  <c r="M171" i="24"/>
  <c r="L171" i="24"/>
  <c r="M170" i="24"/>
  <c r="L170" i="24"/>
  <c r="M169" i="24"/>
  <c r="L169" i="24"/>
  <c r="M168" i="24"/>
  <c r="L168" i="24"/>
  <c r="M167" i="24"/>
  <c r="L167" i="24"/>
  <c r="M166" i="24"/>
  <c r="L166" i="24"/>
  <c r="M165" i="24"/>
  <c r="L165" i="24"/>
  <c r="M164" i="24"/>
  <c r="L164" i="24"/>
  <c r="M163" i="24"/>
  <c r="L163" i="24"/>
  <c r="M162" i="24"/>
  <c r="L162" i="24"/>
  <c r="M161" i="24"/>
  <c r="L161" i="24"/>
  <c r="M160" i="24"/>
  <c r="L160" i="24"/>
  <c r="M159" i="24"/>
  <c r="L159" i="24"/>
  <c r="M158" i="24"/>
  <c r="L158" i="24"/>
  <c r="M157" i="24"/>
  <c r="L157" i="24"/>
  <c r="M156" i="24"/>
  <c r="L156" i="24"/>
  <c r="M155" i="24"/>
  <c r="L155" i="24"/>
  <c r="M154" i="24"/>
  <c r="L154" i="24"/>
  <c r="M153" i="24"/>
  <c r="L153" i="24"/>
  <c r="M152" i="24"/>
  <c r="L152" i="24"/>
  <c r="M151" i="24"/>
  <c r="L151" i="24"/>
  <c r="M150" i="24"/>
  <c r="L150" i="24"/>
  <c r="M149" i="24"/>
  <c r="L149" i="24"/>
  <c r="M148" i="24"/>
  <c r="L148" i="24"/>
  <c r="M147" i="24"/>
  <c r="L147" i="24"/>
  <c r="M146" i="24"/>
  <c r="L146" i="24"/>
  <c r="M145" i="24"/>
  <c r="L145" i="24"/>
  <c r="M144" i="24"/>
  <c r="L144" i="24"/>
  <c r="M143" i="24"/>
  <c r="L143" i="24"/>
  <c r="M142" i="24"/>
  <c r="L142" i="24"/>
  <c r="M141" i="24"/>
  <c r="L141" i="24"/>
  <c r="M140" i="24"/>
  <c r="L140" i="24"/>
  <c r="M139" i="24"/>
  <c r="L139" i="24"/>
  <c r="M138" i="24"/>
  <c r="L138" i="24"/>
  <c r="M137" i="24"/>
  <c r="L137" i="24"/>
  <c r="M136" i="24"/>
  <c r="L136" i="24"/>
  <c r="M135" i="24"/>
  <c r="L135" i="24"/>
  <c r="M134" i="24"/>
  <c r="L134" i="24"/>
  <c r="M133" i="24"/>
  <c r="L133" i="24"/>
  <c r="M132" i="24"/>
  <c r="L132" i="24"/>
  <c r="M131" i="24"/>
  <c r="L131" i="24"/>
  <c r="M130" i="24"/>
  <c r="L130" i="24"/>
  <c r="M129" i="24"/>
  <c r="L129" i="24"/>
  <c r="M128" i="24"/>
  <c r="L128" i="24"/>
  <c r="M127" i="24"/>
  <c r="L127" i="24"/>
  <c r="M126" i="24"/>
  <c r="L126" i="24"/>
  <c r="M125" i="24"/>
  <c r="L125" i="24"/>
  <c r="M124" i="24"/>
  <c r="L124" i="24"/>
  <c r="M123" i="24"/>
  <c r="L123" i="24"/>
  <c r="M122" i="24"/>
  <c r="L122" i="24"/>
  <c r="M121" i="24"/>
  <c r="L121" i="24"/>
  <c r="M120" i="24"/>
  <c r="L120" i="24"/>
  <c r="M119" i="24"/>
  <c r="L119" i="24"/>
  <c r="M118" i="24"/>
  <c r="L118" i="24"/>
  <c r="M117" i="24"/>
  <c r="L117" i="24"/>
  <c r="M116" i="24"/>
  <c r="L116" i="24"/>
  <c r="M115" i="24"/>
  <c r="L115" i="24"/>
  <c r="M114" i="24"/>
  <c r="L114" i="24"/>
  <c r="M113" i="24"/>
  <c r="L113" i="24"/>
  <c r="M112" i="24"/>
  <c r="L112" i="24"/>
  <c r="M111" i="24"/>
  <c r="L111" i="24"/>
  <c r="M110" i="24"/>
  <c r="L110" i="24"/>
  <c r="M109" i="24"/>
  <c r="L109" i="24"/>
  <c r="M108" i="24"/>
  <c r="L108" i="24"/>
  <c r="M107" i="24"/>
  <c r="L107" i="24"/>
  <c r="M106" i="24"/>
  <c r="L106" i="24"/>
  <c r="M105" i="24"/>
  <c r="L105" i="24"/>
  <c r="M104" i="24"/>
  <c r="L104" i="24"/>
  <c r="M103" i="24"/>
  <c r="L103" i="24"/>
  <c r="M102" i="24"/>
  <c r="L102" i="24"/>
  <c r="M101" i="24"/>
  <c r="L101" i="24"/>
  <c r="M100" i="24"/>
  <c r="L100" i="24"/>
  <c r="M99" i="24"/>
  <c r="L99" i="24"/>
  <c r="M98" i="24"/>
  <c r="L98" i="24"/>
  <c r="M97" i="24"/>
  <c r="L97" i="24"/>
  <c r="M96" i="24"/>
  <c r="L96" i="24"/>
  <c r="M95" i="24"/>
  <c r="L95" i="24"/>
  <c r="M94" i="24"/>
  <c r="L94" i="24"/>
  <c r="M93" i="24"/>
  <c r="L93" i="24"/>
  <c r="M92" i="24"/>
  <c r="L92" i="24"/>
  <c r="M91" i="24"/>
  <c r="L91" i="24"/>
  <c r="M90" i="24"/>
  <c r="L90" i="24"/>
  <c r="M89" i="24"/>
  <c r="L89" i="24"/>
  <c r="M88" i="24"/>
  <c r="L88" i="24"/>
  <c r="M87" i="24"/>
  <c r="L87" i="24"/>
  <c r="M86" i="24"/>
  <c r="L86" i="24"/>
  <c r="M85" i="24"/>
  <c r="L85" i="24"/>
  <c r="M84" i="24"/>
  <c r="L84" i="24"/>
  <c r="M83" i="24"/>
  <c r="L83" i="24"/>
  <c r="M82" i="24"/>
  <c r="L82" i="24"/>
  <c r="M81" i="24"/>
  <c r="L81" i="24"/>
  <c r="M80" i="24"/>
  <c r="L80" i="24"/>
  <c r="M79" i="24"/>
  <c r="L79" i="24"/>
  <c r="M78" i="24"/>
  <c r="L78" i="24"/>
  <c r="M77" i="24"/>
  <c r="L77" i="24"/>
  <c r="M76" i="24"/>
  <c r="L76" i="24"/>
  <c r="M75" i="24"/>
  <c r="L75" i="24"/>
  <c r="M74" i="24"/>
  <c r="L74" i="24"/>
  <c r="M73" i="24"/>
  <c r="L73" i="24"/>
  <c r="M72" i="24"/>
  <c r="L72" i="24"/>
  <c r="M71" i="24"/>
  <c r="L71" i="24"/>
  <c r="M70" i="24"/>
  <c r="L70" i="24"/>
  <c r="M69" i="24"/>
  <c r="L69" i="24"/>
  <c r="M68" i="24"/>
  <c r="L68" i="24"/>
  <c r="M67" i="24"/>
  <c r="L67" i="24"/>
  <c r="M66" i="24"/>
  <c r="L66" i="24"/>
  <c r="M65" i="24"/>
  <c r="L65" i="24"/>
  <c r="M64" i="24"/>
  <c r="L64" i="24"/>
  <c r="M63" i="24"/>
  <c r="L63" i="24"/>
  <c r="M62" i="24"/>
  <c r="L62" i="24"/>
  <c r="M61" i="24"/>
  <c r="L61" i="24"/>
  <c r="M60" i="24"/>
  <c r="L60" i="24"/>
  <c r="M59" i="24"/>
  <c r="L59" i="24"/>
  <c r="M58" i="24"/>
  <c r="L58" i="24"/>
  <c r="M57" i="24"/>
  <c r="L57" i="24"/>
  <c r="M56" i="24"/>
  <c r="L56" i="24"/>
  <c r="M55" i="24"/>
  <c r="L55" i="24"/>
  <c r="M54" i="24"/>
  <c r="L54" i="24"/>
  <c r="M53" i="24"/>
  <c r="L53" i="24"/>
  <c r="M52" i="24"/>
  <c r="L52" i="24"/>
  <c r="M51" i="24"/>
  <c r="L51" i="24"/>
  <c r="M50" i="24"/>
  <c r="L50" i="24"/>
  <c r="M49" i="24"/>
  <c r="L49" i="24"/>
  <c r="M48" i="24"/>
  <c r="L48" i="24"/>
  <c r="M47" i="24"/>
  <c r="L47" i="24"/>
  <c r="M46" i="24"/>
  <c r="L46" i="24"/>
  <c r="M45" i="24"/>
  <c r="L45" i="24"/>
  <c r="M44" i="24"/>
  <c r="L44" i="24"/>
  <c r="M43" i="24"/>
  <c r="L43" i="24"/>
  <c r="M42" i="24"/>
  <c r="L42" i="24"/>
  <c r="M41" i="24"/>
  <c r="L41" i="24"/>
  <c r="M40" i="24"/>
  <c r="L40" i="24"/>
  <c r="M39" i="24"/>
  <c r="L39" i="24"/>
  <c r="M38" i="24"/>
  <c r="L38" i="24"/>
  <c r="M37" i="24"/>
  <c r="L37" i="24"/>
  <c r="M36" i="24"/>
  <c r="L36" i="24"/>
  <c r="M35" i="24"/>
  <c r="L35" i="24"/>
  <c r="M34" i="24"/>
  <c r="L34" i="24"/>
  <c r="M33" i="24"/>
  <c r="L33" i="24"/>
  <c r="M32" i="24"/>
  <c r="L32" i="24"/>
  <c r="M31" i="24"/>
  <c r="L31" i="24"/>
  <c r="M30" i="24"/>
  <c r="L30" i="24"/>
  <c r="M29" i="24"/>
  <c r="L29" i="24"/>
  <c r="M20" i="24"/>
  <c r="L20" i="24"/>
  <c r="M19" i="24"/>
  <c r="L19" i="24"/>
  <c r="M18" i="24"/>
  <c r="L18" i="24"/>
  <c r="M17" i="24"/>
  <c r="L17" i="24"/>
  <c r="M16" i="24"/>
  <c r="L16" i="24"/>
  <c r="M15" i="24"/>
  <c r="L15" i="24"/>
  <c r="M14" i="24"/>
  <c r="L14" i="24"/>
  <c r="M13" i="24"/>
  <c r="L13" i="24"/>
  <c r="M12" i="24"/>
  <c r="L12" i="24"/>
  <c r="M11" i="24"/>
  <c r="L11" i="24"/>
  <c r="M10" i="24"/>
  <c r="L10" i="24"/>
  <c r="M9" i="24"/>
  <c r="L9" i="24"/>
  <c r="M8" i="24"/>
  <c r="L8" i="24"/>
  <c r="M7" i="24"/>
  <c r="L7" i="24"/>
  <c r="M6" i="24"/>
  <c r="L6" i="24"/>
  <c r="E460" i="24"/>
  <c r="D460" i="24"/>
  <c r="J460" i="24"/>
  <c r="J459" i="24"/>
  <c r="E458" i="24"/>
  <c r="D458" i="24"/>
  <c r="J458" i="24"/>
  <c r="J457" i="24"/>
  <c r="E456" i="24"/>
  <c r="D456" i="24"/>
  <c r="J456" i="24"/>
  <c r="E454" i="24"/>
  <c r="D454" i="24"/>
  <c r="J454" i="24"/>
  <c r="E452" i="24"/>
  <c r="D452" i="24"/>
  <c r="J452" i="24"/>
  <c r="E450" i="24"/>
  <c r="D450" i="24"/>
  <c r="J450" i="24"/>
  <c r="E448" i="24"/>
  <c r="D448" i="24"/>
  <c r="J448" i="24"/>
  <c r="E446" i="24"/>
  <c r="D446" i="24"/>
  <c r="J446" i="24"/>
  <c r="E444" i="24"/>
  <c r="D444" i="24"/>
  <c r="J444" i="24"/>
  <c r="E442" i="24"/>
  <c r="D442" i="24"/>
  <c r="J442" i="24"/>
  <c r="E440" i="24"/>
  <c r="D440" i="24"/>
  <c r="J440" i="24"/>
  <c r="E438" i="24"/>
  <c r="D438" i="24"/>
  <c r="J438" i="24"/>
  <c r="E436" i="24"/>
  <c r="D436" i="24"/>
  <c r="J436" i="24"/>
  <c r="J435" i="24"/>
  <c r="J434" i="24"/>
  <c r="J428" i="24"/>
  <c r="E427" i="24"/>
  <c r="D427" i="24"/>
  <c r="J427" i="24"/>
  <c r="J426" i="24"/>
  <c r="E425" i="24"/>
  <c r="D425" i="24"/>
  <c r="J425" i="24"/>
  <c r="J424" i="24"/>
  <c r="E423" i="24"/>
  <c r="D423" i="24"/>
  <c r="J423" i="24"/>
  <c r="E421" i="24"/>
  <c r="D421" i="24"/>
  <c r="J421" i="24"/>
  <c r="E419" i="24"/>
  <c r="D419" i="24"/>
  <c r="J419" i="24"/>
  <c r="E417" i="24"/>
  <c r="D417" i="24"/>
  <c r="J417" i="24"/>
  <c r="E415" i="24"/>
  <c r="D415" i="24"/>
  <c r="J415" i="24"/>
  <c r="E413" i="24"/>
  <c r="D413" i="24"/>
  <c r="J413" i="24"/>
  <c r="E411" i="24"/>
  <c r="D411" i="24"/>
  <c r="J411" i="24"/>
  <c r="J410" i="24"/>
  <c r="E409" i="24"/>
  <c r="D409" i="24"/>
  <c r="J409" i="24"/>
  <c r="E407" i="24"/>
  <c r="D407" i="24"/>
  <c r="J407" i="24"/>
  <c r="J406" i="24"/>
  <c r="E405" i="24"/>
  <c r="D405" i="24"/>
  <c r="J405" i="24"/>
  <c r="J404" i="24"/>
  <c r="E403" i="24"/>
  <c r="D403" i="24"/>
  <c r="J403" i="24"/>
  <c r="J402" i="24"/>
  <c r="E401" i="24"/>
  <c r="D401" i="24"/>
  <c r="J401" i="24"/>
  <c r="J400" i="24"/>
  <c r="E399" i="24"/>
  <c r="D399" i="24"/>
  <c r="J399" i="24"/>
  <c r="J398" i="24"/>
  <c r="E397" i="24"/>
  <c r="D397" i="24"/>
  <c r="J397" i="24"/>
  <c r="E395" i="24"/>
  <c r="D395" i="24"/>
  <c r="J395" i="24"/>
  <c r="E393" i="24"/>
  <c r="D393" i="24"/>
  <c r="J393" i="24"/>
  <c r="J392" i="24"/>
  <c r="E391" i="24"/>
  <c r="D391" i="24"/>
  <c r="J391" i="24"/>
  <c r="E389" i="24"/>
  <c r="D389" i="24"/>
  <c r="J389" i="24"/>
  <c r="J388" i="24"/>
  <c r="E387" i="24"/>
  <c r="D387" i="24"/>
  <c r="J387" i="24"/>
  <c r="E385" i="24"/>
  <c r="D385" i="24"/>
  <c r="J385" i="24"/>
  <c r="J384" i="24"/>
  <c r="E383" i="24"/>
  <c r="D383" i="24"/>
  <c r="J383" i="24"/>
  <c r="J382" i="24"/>
  <c r="E381" i="24"/>
  <c r="D381" i="24"/>
  <c r="J381" i="24"/>
  <c r="G379" i="24"/>
  <c r="D380" i="24" s="1"/>
  <c r="H379" i="24"/>
  <c r="E380" i="24"/>
  <c r="H378" i="24"/>
  <c r="G378" i="24" s="1"/>
  <c r="F378" i="24" s="1"/>
  <c r="C379" i="24" s="1"/>
  <c r="E379" i="24"/>
  <c r="E377" i="24"/>
  <c r="D377" i="24"/>
  <c r="J377" i="24"/>
  <c r="J376" i="24"/>
  <c r="E375" i="24"/>
  <c r="D375" i="24"/>
  <c r="J375" i="24"/>
  <c r="E373" i="24"/>
  <c r="D373" i="24"/>
  <c r="J373" i="24"/>
  <c r="J372" i="24"/>
  <c r="E371" i="24"/>
  <c r="D371" i="24"/>
  <c r="J371" i="24"/>
  <c r="E369" i="24"/>
  <c r="D369" i="24"/>
  <c r="J369" i="24"/>
  <c r="E367" i="24"/>
  <c r="D367" i="24"/>
  <c r="J367" i="24"/>
  <c r="E365" i="24"/>
  <c r="D365" i="24"/>
  <c r="J365" i="24"/>
  <c r="J363" i="24"/>
  <c r="G362" i="24"/>
  <c r="F362" i="24" s="1"/>
  <c r="E361" i="24"/>
  <c r="D361" i="24"/>
  <c r="J361" i="24"/>
  <c r="E359" i="24"/>
  <c r="D359" i="24"/>
  <c r="J359" i="24"/>
  <c r="J358" i="24"/>
  <c r="J357" i="24"/>
  <c r="E355" i="24"/>
  <c r="D355" i="24"/>
  <c r="J355" i="24"/>
  <c r="E353" i="24"/>
  <c r="D353" i="24"/>
  <c r="J353" i="24"/>
  <c r="J352" i="24"/>
  <c r="E351" i="24"/>
  <c r="D351" i="24"/>
  <c r="J351" i="24"/>
  <c r="E349" i="24"/>
  <c r="D349" i="24"/>
  <c r="J349" i="24"/>
  <c r="E347" i="24"/>
  <c r="D347" i="24"/>
  <c r="J347" i="24"/>
  <c r="E345" i="24"/>
  <c r="D345" i="24"/>
  <c r="J345" i="24"/>
  <c r="E343" i="24"/>
  <c r="D343" i="24"/>
  <c r="J343" i="24"/>
  <c r="J342" i="24"/>
  <c r="E341" i="24"/>
  <c r="D341" i="24"/>
  <c r="J341" i="24"/>
  <c r="G339" i="24"/>
  <c r="D340" i="24" s="1"/>
  <c r="H339" i="24"/>
  <c r="E340" i="24"/>
  <c r="H338" i="24"/>
  <c r="G338" i="24" s="1"/>
  <c r="F338" i="24" s="1"/>
  <c r="C339" i="24" s="1"/>
  <c r="E339" i="24"/>
  <c r="E337" i="24"/>
  <c r="D337" i="24"/>
  <c r="J337" i="24"/>
  <c r="E335" i="24"/>
  <c r="D335" i="24"/>
  <c r="J335" i="24"/>
  <c r="J334" i="24"/>
  <c r="E333" i="24"/>
  <c r="D333" i="24"/>
  <c r="J333" i="24"/>
  <c r="E331" i="24"/>
  <c r="D331" i="24"/>
  <c r="J331" i="24"/>
  <c r="E329" i="24"/>
  <c r="D329" i="24"/>
  <c r="J329" i="24"/>
  <c r="J328" i="24"/>
  <c r="E327" i="24"/>
  <c r="D327" i="24"/>
  <c r="J327" i="24"/>
  <c r="E325" i="24"/>
  <c r="D325" i="24"/>
  <c r="J325" i="24"/>
  <c r="E323" i="24"/>
  <c r="D323" i="24"/>
  <c r="J323" i="24"/>
  <c r="E321" i="24"/>
  <c r="D321" i="24"/>
  <c r="J321" i="24"/>
  <c r="J320" i="24"/>
  <c r="E319" i="24"/>
  <c r="D319" i="24"/>
  <c r="J319" i="24"/>
  <c r="E317" i="24"/>
  <c r="D317" i="24"/>
  <c r="J317" i="24"/>
  <c r="E315" i="24"/>
  <c r="D315" i="24"/>
  <c r="J315" i="24"/>
  <c r="G313" i="24"/>
  <c r="D314" i="24" s="1"/>
  <c r="H313" i="24"/>
  <c r="E314" i="24"/>
  <c r="H312" i="24"/>
  <c r="E313" i="24"/>
  <c r="H311" i="24"/>
  <c r="E312" i="24"/>
  <c r="H310" i="24"/>
  <c r="G310" i="24" s="1"/>
  <c r="F310" i="24" s="1"/>
  <c r="C311" i="24" s="1"/>
  <c r="E311" i="24"/>
  <c r="E309" i="24"/>
  <c r="D309" i="24"/>
  <c r="J309" i="24"/>
  <c r="J305" i="24"/>
  <c r="E303" i="24"/>
  <c r="D303" i="24"/>
  <c r="J303" i="24"/>
  <c r="E301" i="24"/>
  <c r="D301" i="24"/>
  <c r="J301" i="24"/>
  <c r="E299" i="24"/>
  <c r="D299" i="24"/>
  <c r="J299" i="24"/>
  <c r="E297" i="24"/>
  <c r="D297" i="24"/>
  <c r="J297" i="24"/>
  <c r="J296" i="24"/>
  <c r="E295" i="24"/>
  <c r="D295" i="24"/>
  <c r="J295" i="24"/>
  <c r="E293" i="24"/>
  <c r="D293" i="24"/>
  <c r="J293" i="24"/>
  <c r="E291" i="24"/>
  <c r="D291" i="24"/>
  <c r="J291" i="24"/>
  <c r="G289" i="24"/>
  <c r="D290" i="24" s="1"/>
  <c r="H289" i="24"/>
  <c r="E290" i="24"/>
  <c r="H288" i="24"/>
  <c r="E289" i="24"/>
  <c r="H287" i="24"/>
  <c r="E288" i="24"/>
  <c r="H286" i="24"/>
  <c r="G286" i="24" s="1"/>
  <c r="F286" i="24" s="1"/>
  <c r="C287" i="24" s="1"/>
  <c r="E287" i="24"/>
  <c r="E285" i="24"/>
  <c r="D285" i="24"/>
  <c r="J285" i="24"/>
  <c r="E283" i="24"/>
  <c r="D283" i="24"/>
  <c r="J283" i="24"/>
  <c r="J282" i="24"/>
  <c r="E281" i="24"/>
  <c r="D281" i="24"/>
  <c r="J281" i="24"/>
  <c r="J280" i="24"/>
  <c r="J279" i="24"/>
  <c r="J274" i="24"/>
  <c r="E273" i="24"/>
  <c r="D273" i="24"/>
  <c r="J273" i="24"/>
  <c r="J272" i="24"/>
  <c r="E271" i="24"/>
  <c r="D271" i="24"/>
  <c r="J271" i="24"/>
  <c r="J269" i="24"/>
  <c r="J264" i="24"/>
  <c r="E263" i="24"/>
  <c r="D263" i="24"/>
  <c r="J263" i="24"/>
  <c r="G261" i="24"/>
  <c r="D262" i="24" s="1"/>
  <c r="H261" i="24"/>
  <c r="E262" i="24"/>
  <c r="H260" i="24"/>
  <c r="G260" i="24" s="1"/>
  <c r="F260" i="24" s="1"/>
  <c r="C261" i="24" s="1"/>
  <c r="E261" i="24"/>
  <c r="E259" i="24"/>
  <c r="D259" i="24"/>
  <c r="J259" i="24"/>
  <c r="J258" i="24"/>
  <c r="E257" i="24"/>
  <c r="D257" i="24"/>
  <c r="J257" i="24"/>
  <c r="G255" i="24"/>
  <c r="D256" i="24" s="1"/>
  <c r="H255" i="24"/>
  <c r="E256" i="24"/>
  <c r="H254" i="24"/>
  <c r="G254" i="24" s="1"/>
  <c r="F254" i="24" s="1"/>
  <c r="C255" i="24" s="1"/>
  <c r="E255" i="24"/>
  <c r="E253" i="24"/>
  <c r="D253" i="24"/>
  <c r="J253" i="24"/>
  <c r="E251" i="24"/>
  <c r="D251" i="24"/>
  <c r="J251" i="24"/>
  <c r="E249" i="24"/>
  <c r="D249" i="24"/>
  <c r="J249" i="24"/>
  <c r="J248" i="24"/>
  <c r="E247" i="24"/>
  <c r="D247" i="24"/>
  <c r="J247" i="24"/>
  <c r="E245" i="24"/>
  <c r="D245" i="24"/>
  <c r="J245" i="24"/>
  <c r="G243" i="24"/>
  <c r="D244" i="24" s="1"/>
  <c r="H243" i="24"/>
  <c r="E244" i="24"/>
  <c r="H242" i="24"/>
  <c r="G242" i="24" s="1"/>
  <c r="F242" i="24" s="1"/>
  <c r="C243" i="24" s="1"/>
  <c r="E243" i="24"/>
  <c r="E241" i="24"/>
  <c r="D241" i="24"/>
  <c r="J241" i="24"/>
  <c r="E239" i="24"/>
  <c r="D239" i="24"/>
  <c r="J239" i="24"/>
  <c r="E237" i="24"/>
  <c r="D237" i="24"/>
  <c r="J237" i="24"/>
  <c r="J236" i="24"/>
  <c r="E235" i="24"/>
  <c r="D235" i="24"/>
  <c r="J235" i="24"/>
  <c r="E233" i="24"/>
  <c r="D233" i="24"/>
  <c r="J233" i="24"/>
  <c r="E231" i="24"/>
  <c r="D231" i="24"/>
  <c r="J231" i="24"/>
  <c r="E229" i="24"/>
  <c r="D229" i="24"/>
  <c r="J229" i="24"/>
  <c r="E227" i="24"/>
  <c r="D227" i="24"/>
  <c r="J227" i="24"/>
  <c r="E225" i="24"/>
  <c r="D225" i="24"/>
  <c r="J225" i="24"/>
  <c r="E223" i="24"/>
  <c r="D223" i="24"/>
  <c r="J223" i="24"/>
  <c r="J222" i="24"/>
  <c r="E221" i="24"/>
  <c r="D221" i="24"/>
  <c r="J221" i="24"/>
  <c r="J220" i="24"/>
  <c r="E219" i="24"/>
  <c r="D219" i="24"/>
  <c r="J219" i="24"/>
  <c r="J218" i="24"/>
  <c r="E217" i="24"/>
  <c r="D217" i="24"/>
  <c r="J217" i="24"/>
  <c r="G215" i="24"/>
  <c r="D216" i="24" s="1"/>
  <c r="H215" i="24"/>
  <c r="E216" i="24"/>
  <c r="H214" i="24"/>
  <c r="G214" i="24" s="1"/>
  <c r="F214" i="24" s="1"/>
  <c r="C215" i="24" s="1"/>
  <c r="E215" i="24"/>
  <c r="E213" i="24"/>
  <c r="D213" i="24"/>
  <c r="J213" i="24"/>
  <c r="G211" i="24"/>
  <c r="D212" i="24" s="1"/>
  <c r="G210" i="24"/>
  <c r="F210" i="24" s="1"/>
  <c r="C211" i="24" s="1"/>
  <c r="E209" i="24"/>
  <c r="D209" i="24"/>
  <c r="J209" i="24"/>
  <c r="J208" i="24"/>
  <c r="E207" i="24"/>
  <c r="D207" i="24"/>
  <c r="J207" i="24"/>
  <c r="E205" i="24"/>
  <c r="D205" i="24"/>
  <c r="J205" i="24"/>
  <c r="J204" i="24"/>
  <c r="E203" i="24"/>
  <c r="D203" i="24"/>
  <c r="J203" i="24"/>
  <c r="J202" i="24"/>
  <c r="E201" i="24"/>
  <c r="D201" i="24"/>
  <c r="J201" i="24"/>
  <c r="J200" i="24"/>
  <c r="J199" i="24"/>
  <c r="G196" i="24"/>
  <c r="E195" i="24"/>
  <c r="D195" i="24"/>
  <c r="J195" i="24"/>
  <c r="G193" i="24"/>
  <c r="D194" i="24" s="1"/>
  <c r="H193" i="24"/>
  <c r="E194" i="24"/>
  <c r="H192" i="24"/>
  <c r="E193" i="24"/>
  <c r="H191" i="24"/>
  <c r="E192" i="24"/>
  <c r="H190" i="24"/>
  <c r="G190" i="24" s="1"/>
  <c r="F190" i="24" s="1"/>
  <c r="C191" i="24" s="1"/>
  <c r="E191" i="24"/>
  <c r="E189" i="24"/>
  <c r="D189" i="24"/>
  <c r="J189" i="24"/>
  <c r="J188" i="24"/>
  <c r="E187" i="24"/>
  <c r="D187" i="24"/>
  <c r="J187" i="24"/>
  <c r="J186" i="24"/>
  <c r="E185" i="24"/>
  <c r="D185" i="24"/>
  <c r="J185" i="24"/>
  <c r="E183" i="24"/>
  <c r="D183" i="24"/>
  <c r="J183" i="24"/>
  <c r="J182" i="24"/>
  <c r="E181" i="24"/>
  <c r="D181" i="24"/>
  <c r="J181" i="24"/>
  <c r="G179" i="24"/>
  <c r="D180" i="24" s="1"/>
  <c r="H179" i="24"/>
  <c r="E180" i="24"/>
  <c r="H178" i="24"/>
  <c r="G178" i="24" s="1"/>
  <c r="F178" i="24" s="1"/>
  <c r="C179" i="24" s="1"/>
  <c r="E179" i="24"/>
  <c r="E177" i="24"/>
  <c r="D177" i="24"/>
  <c r="J177" i="24"/>
  <c r="E175" i="24"/>
  <c r="D175" i="24"/>
  <c r="J175" i="24"/>
  <c r="E173" i="24"/>
  <c r="D173" i="24"/>
  <c r="J173" i="24"/>
  <c r="J172" i="24"/>
  <c r="E171" i="24"/>
  <c r="D171" i="24"/>
  <c r="J171" i="24"/>
  <c r="G169" i="24"/>
  <c r="D170" i="24" s="1"/>
  <c r="H169" i="24"/>
  <c r="E170" i="24"/>
  <c r="H168" i="24"/>
  <c r="G168" i="24" s="1"/>
  <c r="F168" i="24" s="1"/>
  <c r="C169" i="24" s="1"/>
  <c r="E169" i="24"/>
  <c r="E167" i="24"/>
  <c r="D167" i="24"/>
  <c r="J167" i="24"/>
  <c r="E165" i="24"/>
  <c r="D165" i="24"/>
  <c r="J165" i="24"/>
  <c r="G163" i="24"/>
  <c r="D164" i="24" s="1"/>
  <c r="H163" i="24"/>
  <c r="E164" i="24"/>
  <c r="H162" i="24"/>
  <c r="G162" i="24" s="1"/>
  <c r="F162" i="24" s="1"/>
  <c r="C163" i="24" s="1"/>
  <c r="E163" i="24"/>
  <c r="E161" i="24"/>
  <c r="D161" i="24"/>
  <c r="J161" i="24"/>
  <c r="E159" i="24"/>
  <c r="D159" i="24"/>
  <c r="J159" i="24"/>
  <c r="E157" i="24"/>
  <c r="D157" i="24"/>
  <c r="J157" i="24"/>
  <c r="E155" i="24"/>
  <c r="D155" i="24"/>
  <c r="J155" i="24"/>
  <c r="G153" i="24"/>
  <c r="D154" i="24" s="1"/>
  <c r="H153" i="24"/>
  <c r="E154" i="24"/>
  <c r="H152" i="24"/>
  <c r="G152" i="24" s="1"/>
  <c r="F152" i="24" s="1"/>
  <c r="C153" i="24" s="1"/>
  <c r="E153" i="24"/>
  <c r="E151" i="24"/>
  <c r="D151" i="24"/>
  <c r="J151" i="24"/>
  <c r="E149" i="24"/>
  <c r="D149" i="24"/>
  <c r="J149" i="24"/>
  <c r="G147" i="24"/>
  <c r="D148" i="24" s="1"/>
  <c r="H147" i="24"/>
  <c r="E148" i="24"/>
  <c r="H146" i="24"/>
  <c r="G146" i="24" s="1"/>
  <c r="F146" i="24" s="1"/>
  <c r="C147" i="24" s="1"/>
  <c r="E147" i="24"/>
  <c r="E145" i="24"/>
  <c r="D145" i="24"/>
  <c r="J145" i="24"/>
  <c r="E143" i="24"/>
  <c r="D143" i="24"/>
  <c r="J143" i="24"/>
  <c r="J142" i="24"/>
  <c r="E141" i="24"/>
  <c r="D141" i="24"/>
  <c r="J141" i="24"/>
  <c r="E139" i="24"/>
  <c r="D139" i="24"/>
  <c r="J139" i="24"/>
  <c r="J138" i="24"/>
  <c r="E137" i="24"/>
  <c r="D137" i="24"/>
  <c r="J137" i="24"/>
  <c r="E135" i="24"/>
  <c r="D135" i="24"/>
  <c r="J135" i="24"/>
  <c r="E133" i="24"/>
  <c r="D133" i="24"/>
  <c r="J133" i="24"/>
  <c r="E131" i="24"/>
  <c r="D131" i="24"/>
  <c r="J131" i="24"/>
  <c r="E129" i="24"/>
  <c r="D129" i="24"/>
  <c r="J129" i="24"/>
  <c r="E127" i="24"/>
  <c r="D127" i="24"/>
  <c r="J127" i="24"/>
  <c r="E125" i="24"/>
  <c r="D125" i="24"/>
  <c r="J125" i="24"/>
  <c r="E123" i="24"/>
  <c r="D123" i="24"/>
  <c r="J123" i="24"/>
  <c r="E121" i="24"/>
  <c r="D121" i="24"/>
  <c r="J121" i="24"/>
  <c r="E119" i="24"/>
  <c r="D119" i="24"/>
  <c r="J119" i="24"/>
  <c r="E117" i="24"/>
  <c r="D117" i="24"/>
  <c r="J117" i="24"/>
  <c r="E115" i="24"/>
  <c r="D115" i="24"/>
  <c r="J115" i="24"/>
  <c r="E113" i="24"/>
  <c r="D113" i="24"/>
  <c r="J113" i="24"/>
  <c r="E111" i="24"/>
  <c r="D111" i="24"/>
  <c r="J111" i="24"/>
  <c r="J110" i="24"/>
  <c r="E109" i="24"/>
  <c r="D109" i="24"/>
  <c r="J109" i="24"/>
  <c r="J108" i="24"/>
  <c r="E107" i="24"/>
  <c r="D107" i="24"/>
  <c r="J107" i="24"/>
  <c r="J106" i="24"/>
  <c r="E105" i="24"/>
  <c r="D105" i="24"/>
  <c r="J105" i="24"/>
  <c r="J104" i="24"/>
  <c r="E103" i="24"/>
  <c r="D103" i="24"/>
  <c r="J103" i="24"/>
  <c r="E101" i="24"/>
  <c r="D101" i="24"/>
  <c r="J101" i="24"/>
  <c r="J100" i="24"/>
  <c r="E99" i="24"/>
  <c r="D99" i="24"/>
  <c r="J99" i="24"/>
  <c r="G97" i="24"/>
  <c r="D98" i="24" s="1"/>
  <c r="H97" i="24"/>
  <c r="E98" i="24"/>
  <c r="H96" i="24"/>
  <c r="G96" i="24" s="1"/>
  <c r="F96" i="24" s="1"/>
  <c r="C97" i="24" s="1"/>
  <c r="E97" i="24"/>
  <c r="E95" i="24"/>
  <c r="D95" i="24"/>
  <c r="J95" i="24"/>
  <c r="E93" i="24"/>
  <c r="D93" i="24"/>
  <c r="J93" i="24"/>
  <c r="J92" i="24"/>
  <c r="E91" i="24"/>
  <c r="D91" i="24"/>
  <c r="J91" i="24"/>
  <c r="J90" i="24"/>
  <c r="E89" i="24"/>
  <c r="D89" i="24"/>
  <c r="J89" i="24"/>
  <c r="J88" i="24"/>
  <c r="E87" i="24"/>
  <c r="D87" i="24"/>
  <c r="J87" i="24"/>
  <c r="E85" i="24"/>
  <c r="D85" i="24"/>
  <c r="J85" i="24"/>
  <c r="J84" i="24"/>
  <c r="E83" i="24"/>
  <c r="D83" i="24"/>
  <c r="J83" i="24"/>
  <c r="E81" i="24"/>
  <c r="D81" i="24"/>
  <c r="J81" i="24"/>
  <c r="G79" i="24"/>
  <c r="D80" i="24" s="1"/>
  <c r="H79" i="24"/>
  <c r="E80" i="24"/>
  <c r="H78" i="24"/>
  <c r="G78" i="24" s="1"/>
  <c r="F78" i="24" s="1"/>
  <c r="C79" i="24" s="1"/>
  <c r="E79" i="24"/>
  <c r="E77" i="24"/>
  <c r="D77" i="24"/>
  <c r="J77" i="24"/>
  <c r="J76" i="24"/>
  <c r="E75" i="24"/>
  <c r="D75" i="24"/>
  <c r="J75" i="24"/>
  <c r="G73" i="24"/>
  <c r="D74" i="24" s="1"/>
  <c r="H73" i="24"/>
  <c r="E74" i="24"/>
  <c r="H72" i="24"/>
  <c r="G72" i="24" s="1"/>
  <c r="F72" i="24" s="1"/>
  <c r="C73" i="24" s="1"/>
  <c r="E73" i="24"/>
  <c r="E71" i="24"/>
  <c r="D71" i="24"/>
  <c r="J71" i="24"/>
  <c r="J70" i="24"/>
  <c r="E69" i="24"/>
  <c r="D69" i="24"/>
  <c r="J69" i="24"/>
  <c r="E67" i="24"/>
  <c r="D67" i="24"/>
  <c r="J67" i="24"/>
  <c r="E65" i="24"/>
  <c r="D65" i="24"/>
  <c r="J65" i="24"/>
  <c r="E63" i="24"/>
  <c r="D63" i="24"/>
  <c r="J63" i="24"/>
  <c r="E61" i="24"/>
  <c r="D61" i="24"/>
  <c r="J61" i="24"/>
  <c r="E59" i="24"/>
  <c r="D59" i="24"/>
  <c r="J59" i="24"/>
  <c r="E57" i="24"/>
  <c r="D57" i="24"/>
  <c r="J57" i="24"/>
  <c r="E55" i="24"/>
  <c r="D55" i="24"/>
  <c r="J55" i="24"/>
  <c r="E53" i="24"/>
  <c r="D53" i="24"/>
  <c r="J53" i="24"/>
  <c r="E51" i="24"/>
  <c r="D51" i="24"/>
  <c r="J51" i="24"/>
  <c r="E49" i="24"/>
  <c r="D49" i="24"/>
  <c r="J49" i="24"/>
  <c r="E47" i="24"/>
  <c r="D47" i="24"/>
  <c r="J47" i="24"/>
  <c r="E45" i="24"/>
  <c r="D45" i="24"/>
  <c r="J45" i="24"/>
  <c r="E43" i="24"/>
  <c r="D43" i="24"/>
  <c r="J43" i="24"/>
  <c r="J42" i="24"/>
  <c r="E41" i="24"/>
  <c r="D41" i="24"/>
  <c r="J41" i="24"/>
  <c r="J40" i="24"/>
  <c r="E39" i="24"/>
  <c r="D39" i="24"/>
  <c r="J39" i="24"/>
  <c r="J38" i="24"/>
  <c r="E37" i="24"/>
  <c r="D37" i="24"/>
  <c r="J37" i="24"/>
  <c r="J36" i="24"/>
  <c r="E35" i="24"/>
  <c r="D35" i="24"/>
  <c r="J35" i="24"/>
  <c r="J34" i="24"/>
  <c r="E33" i="24"/>
  <c r="D33" i="24"/>
  <c r="J33" i="24"/>
  <c r="E31" i="24"/>
  <c r="D31" i="24"/>
  <c r="J31" i="24"/>
  <c r="J29" i="24"/>
  <c r="J20" i="24"/>
  <c r="E19" i="24"/>
  <c r="D19" i="24"/>
  <c r="J19" i="24"/>
  <c r="J18" i="24"/>
  <c r="E17" i="24"/>
  <c r="D17" i="24"/>
  <c r="J17" i="24"/>
  <c r="E15" i="24"/>
  <c r="D15" i="24"/>
  <c r="J15" i="24"/>
  <c r="J14" i="24"/>
  <c r="E13" i="24"/>
  <c r="D13" i="24"/>
  <c r="J13" i="24"/>
  <c r="E11" i="24"/>
  <c r="D11" i="24"/>
  <c r="J11" i="24"/>
  <c r="G9" i="24"/>
  <c r="D10" i="24" s="1"/>
  <c r="H9" i="24"/>
  <c r="E10" i="24"/>
  <c r="H8" i="24"/>
  <c r="G8" i="24" s="1"/>
  <c r="F8" i="24" s="1"/>
  <c r="C9" i="24" s="1"/>
  <c r="E9" i="24"/>
  <c r="J7" i="24"/>
  <c r="C119" i="21"/>
  <c r="H119" i="21"/>
  <c r="C118" i="21"/>
  <c r="H118" i="21"/>
  <c r="C117" i="21"/>
  <c r="H117" i="21"/>
  <c r="C116" i="21"/>
  <c r="H116" i="21"/>
  <c r="C115" i="21"/>
  <c r="H115" i="21"/>
  <c r="C114" i="21"/>
  <c r="H114" i="21"/>
  <c r="C113" i="21"/>
  <c r="H113" i="21"/>
  <c r="C112" i="21"/>
  <c r="H112" i="21"/>
  <c r="C111" i="21"/>
  <c r="H111" i="21"/>
  <c r="C110" i="21"/>
  <c r="H110" i="21"/>
  <c r="C109" i="21"/>
  <c r="H109" i="21"/>
  <c r="C108" i="21"/>
  <c r="H108" i="21"/>
  <c r="C107" i="21"/>
  <c r="H107" i="21"/>
  <c r="C106" i="21"/>
  <c r="H106" i="21"/>
  <c r="C105" i="21"/>
  <c r="H105" i="21"/>
  <c r="C97" i="21"/>
  <c r="J97" i="21"/>
  <c r="B97" i="21"/>
  <c r="A97" i="21"/>
  <c r="C48" i="21"/>
  <c r="H48" i="21"/>
  <c r="R48" i="21"/>
  <c r="K97" i="21" s="1"/>
  <c r="C96" i="21"/>
  <c r="J96" i="21"/>
  <c r="B96" i="21"/>
  <c r="A96" i="21"/>
  <c r="C47" i="21"/>
  <c r="H47" i="21"/>
  <c r="R47" i="21"/>
  <c r="K96" i="21" s="1"/>
  <c r="C95" i="21"/>
  <c r="J95" i="21"/>
  <c r="B95" i="21"/>
  <c r="A95" i="21"/>
  <c r="C46" i="21"/>
  <c r="H46" i="21"/>
  <c r="R46" i="21"/>
  <c r="K95" i="21" s="1"/>
  <c r="C94" i="21"/>
  <c r="J94" i="21"/>
  <c r="B94" i="21"/>
  <c r="A94" i="21"/>
  <c r="C45" i="21"/>
  <c r="H45" i="21"/>
  <c r="R45" i="21"/>
  <c r="K94" i="21" s="1"/>
  <c r="C93" i="21"/>
  <c r="J93" i="21"/>
  <c r="B93" i="21"/>
  <c r="A93" i="21"/>
  <c r="C44" i="21"/>
  <c r="H44" i="21"/>
  <c r="R44" i="21"/>
  <c r="K93" i="21" s="1"/>
  <c r="C92" i="21"/>
  <c r="J92" i="21"/>
  <c r="B92" i="21"/>
  <c r="A92" i="21"/>
  <c r="C43" i="21"/>
  <c r="H43" i="21"/>
  <c r="R43" i="21"/>
  <c r="K92" i="21" s="1"/>
  <c r="C91" i="21"/>
  <c r="J91" i="21"/>
  <c r="B91" i="21"/>
  <c r="A91" i="21"/>
  <c r="C42" i="21"/>
  <c r="H42" i="21"/>
  <c r="R42" i="21"/>
  <c r="K91" i="21" s="1"/>
  <c r="C90" i="21"/>
  <c r="J90" i="21"/>
  <c r="B90" i="21"/>
  <c r="A90" i="21"/>
  <c r="C41" i="21"/>
  <c r="H41" i="21"/>
  <c r="R41" i="21"/>
  <c r="K90" i="21" s="1"/>
  <c r="C89" i="21"/>
  <c r="J89" i="21"/>
  <c r="B89" i="21"/>
  <c r="A89" i="21"/>
  <c r="C40" i="21"/>
  <c r="H40" i="21"/>
  <c r="R40" i="21"/>
  <c r="K89" i="21" s="1"/>
  <c r="C88" i="21"/>
  <c r="J88" i="21"/>
  <c r="B88" i="21"/>
  <c r="A88" i="21"/>
  <c r="C39" i="21"/>
  <c r="H39" i="21"/>
  <c r="R39" i="21"/>
  <c r="K88" i="21" s="1"/>
  <c r="C87" i="21"/>
  <c r="J87" i="21"/>
  <c r="B87" i="21"/>
  <c r="A87" i="21"/>
  <c r="C38" i="21"/>
  <c r="H38" i="21"/>
  <c r="R38" i="21"/>
  <c r="K87" i="21" s="1"/>
  <c r="C86" i="21"/>
  <c r="J86" i="21"/>
  <c r="B86" i="21"/>
  <c r="A86" i="21"/>
  <c r="C37" i="21"/>
  <c r="H37" i="21"/>
  <c r="R37" i="21"/>
  <c r="K86" i="21" s="1"/>
  <c r="C85" i="21"/>
  <c r="J85" i="21"/>
  <c r="B85" i="21"/>
  <c r="A85" i="21"/>
  <c r="C36" i="21"/>
  <c r="H36" i="21"/>
  <c r="R36" i="21"/>
  <c r="K85" i="21" s="1"/>
  <c r="C84" i="21"/>
  <c r="J84" i="21"/>
  <c r="B84" i="21"/>
  <c r="A84" i="21"/>
  <c r="C35" i="21"/>
  <c r="H35" i="21"/>
  <c r="R35" i="21"/>
  <c r="K84" i="21" s="1"/>
  <c r="C83" i="21"/>
  <c r="J83" i="21"/>
  <c r="B83" i="21"/>
  <c r="A83" i="21"/>
  <c r="C34" i="21"/>
  <c r="H34" i="21"/>
  <c r="R34" i="21"/>
  <c r="K83" i="21" s="1"/>
  <c r="C82" i="21"/>
  <c r="J82" i="21"/>
  <c r="B82" i="21"/>
  <c r="A82" i="21"/>
  <c r="C33" i="21"/>
  <c r="H33" i="21"/>
  <c r="R33" i="21"/>
  <c r="K82" i="21" s="1"/>
  <c r="C81" i="21"/>
  <c r="J81" i="21"/>
  <c r="B81" i="21"/>
  <c r="A81" i="21"/>
  <c r="C32" i="21"/>
  <c r="H32" i="21"/>
  <c r="R32" i="21"/>
  <c r="K81" i="21" s="1"/>
  <c r="C80" i="21"/>
  <c r="J80" i="21"/>
  <c r="B80" i="21"/>
  <c r="A80" i="21"/>
  <c r="C31" i="21"/>
  <c r="H31" i="21"/>
  <c r="R31" i="21"/>
  <c r="K80" i="21" s="1"/>
  <c r="C79" i="21"/>
  <c r="J79" i="21"/>
  <c r="B79" i="21"/>
  <c r="A79" i="21"/>
  <c r="C30" i="21"/>
  <c r="H30" i="21"/>
  <c r="R30" i="21"/>
  <c r="K79" i="21" s="1"/>
  <c r="C78" i="21"/>
  <c r="J78" i="21"/>
  <c r="B78" i="21"/>
  <c r="A78" i="21"/>
  <c r="C29" i="21"/>
  <c r="H29" i="21"/>
  <c r="R29" i="21"/>
  <c r="K78" i="21" s="1"/>
  <c r="C77" i="21"/>
  <c r="J77" i="21"/>
  <c r="B77" i="21"/>
  <c r="A77" i="21"/>
  <c r="C28" i="21"/>
  <c r="H28" i="21"/>
  <c r="R28" i="21"/>
  <c r="K77" i="21" s="1"/>
  <c r="C76" i="21"/>
  <c r="J76" i="21"/>
  <c r="B76" i="21"/>
  <c r="A76" i="21"/>
  <c r="C27" i="21"/>
  <c r="H27" i="21"/>
  <c r="R27" i="21"/>
  <c r="K76" i="21" s="1"/>
  <c r="C75" i="21"/>
  <c r="J75" i="21"/>
  <c r="B75" i="21"/>
  <c r="A75" i="21"/>
  <c r="C26" i="21"/>
  <c r="H26" i="21"/>
  <c r="R26" i="21"/>
  <c r="K75" i="21" s="1"/>
  <c r="C74" i="21"/>
  <c r="J74" i="21"/>
  <c r="B74" i="21"/>
  <c r="A74" i="21"/>
  <c r="C25" i="21"/>
  <c r="H25" i="21"/>
  <c r="R25" i="21"/>
  <c r="K74" i="21" s="1"/>
  <c r="C73" i="21"/>
  <c r="J73" i="21"/>
  <c r="B73" i="21"/>
  <c r="A73" i="21"/>
  <c r="C24" i="21"/>
  <c r="H24" i="21"/>
  <c r="R24" i="21"/>
  <c r="K73" i="21" s="1"/>
  <c r="C72" i="21"/>
  <c r="J72" i="21"/>
  <c r="B72" i="21"/>
  <c r="A72" i="21"/>
  <c r="C23" i="21"/>
  <c r="H23" i="21"/>
  <c r="R23" i="21"/>
  <c r="K72" i="21" s="1"/>
  <c r="C71" i="21"/>
  <c r="J71" i="21"/>
  <c r="B71" i="21"/>
  <c r="A71" i="21"/>
  <c r="C22" i="21"/>
  <c r="H22" i="21"/>
  <c r="R22" i="21"/>
  <c r="K71" i="21" s="1"/>
  <c r="C70" i="21"/>
  <c r="J70" i="21"/>
  <c r="B70" i="21"/>
  <c r="A70" i="21"/>
  <c r="C21" i="21"/>
  <c r="H21" i="21"/>
  <c r="R21" i="21"/>
  <c r="K70" i="21" s="1"/>
  <c r="C69" i="21"/>
  <c r="J69" i="21"/>
  <c r="B69" i="21"/>
  <c r="A69" i="21"/>
  <c r="C20" i="21"/>
  <c r="H20" i="21"/>
  <c r="R20" i="21"/>
  <c r="K69" i="21" s="1"/>
  <c r="C68" i="21"/>
  <c r="J68" i="21"/>
  <c r="B68" i="21"/>
  <c r="A68" i="21"/>
  <c r="C19" i="21"/>
  <c r="H19" i="21"/>
  <c r="R19" i="21"/>
  <c r="K68" i="21" s="1"/>
  <c r="C67" i="21"/>
  <c r="J67" i="21"/>
  <c r="B67" i="21"/>
  <c r="A67" i="21"/>
  <c r="C18" i="21"/>
  <c r="H18" i="21"/>
  <c r="R18" i="21"/>
  <c r="K67" i="21" s="1"/>
  <c r="C66" i="21"/>
  <c r="J66" i="21"/>
  <c r="B66" i="21"/>
  <c r="A66" i="21"/>
  <c r="C17" i="21"/>
  <c r="H17" i="21"/>
  <c r="R17" i="21"/>
  <c r="K66" i="21" s="1"/>
  <c r="C65" i="21"/>
  <c r="J65" i="21"/>
  <c r="B65" i="21"/>
  <c r="A65" i="21"/>
  <c r="C16" i="21"/>
  <c r="H16" i="21"/>
  <c r="R16" i="21"/>
  <c r="K65" i="21" s="1"/>
  <c r="C64" i="21"/>
  <c r="J64" i="21"/>
  <c r="B64" i="21"/>
  <c r="A64" i="21"/>
  <c r="C15" i="21"/>
  <c r="H15" i="21"/>
  <c r="R15" i="21"/>
  <c r="K64" i="21" s="1"/>
  <c r="C63" i="21"/>
  <c r="J63" i="21"/>
  <c r="B63" i="21"/>
  <c r="A63" i="21"/>
  <c r="C14" i="21"/>
  <c r="H14" i="21"/>
  <c r="R14" i="21"/>
  <c r="K63" i="21" s="1"/>
  <c r="C62" i="21"/>
  <c r="J62" i="21"/>
  <c r="B62" i="21"/>
  <c r="A62" i="21"/>
  <c r="C13" i="21"/>
  <c r="H13" i="21"/>
  <c r="R13" i="21"/>
  <c r="K62" i="21" s="1"/>
  <c r="C61" i="21"/>
  <c r="J61" i="21"/>
  <c r="B61" i="21"/>
  <c r="A61" i="21"/>
  <c r="C12" i="21"/>
  <c r="H12" i="21"/>
  <c r="R12" i="21"/>
  <c r="K61" i="21" s="1"/>
  <c r="C60" i="21"/>
  <c r="J60" i="21"/>
  <c r="B60" i="21"/>
  <c r="A60" i="21"/>
  <c r="C11" i="21"/>
  <c r="H11" i="21"/>
  <c r="R11" i="21"/>
  <c r="K60" i="21" s="1"/>
  <c r="C59" i="21"/>
  <c r="J59" i="21"/>
  <c r="B59" i="21"/>
  <c r="A59" i="21"/>
  <c r="C10" i="21"/>
  <c r="H10" i="21"/>
  <c r="R10" i="21"/>
  <c r="K59" i="21" s="1"/>
  <c r="C58" i="21"/>
  <c r="J58" i="21"/>
  <c r="B58" i="21"/>
  <c r="A58" i="21"/>
  <c r="C9" i="21"/>
  <c r="H9" i="21"/>
  <c r="R9" i="21"/>
  <c r="K58" i="21" s="1"/>
  <c r="C115" i="18"/>
  <c r="J115" i="18"/>
  <c r="B115" i="18"/>
  <c r="A115" i="18"/>
  <c r="C57" i="18"/>
  <c r="H57" i="18"/>
  <c r="R57" i="18"/>
  <c r="K115" i="18" s="1"/>
  <c r="C114" i="18"/>
  <c r="J114" i="18"/>
  <c r="B114" i="18"/>
  <c r="A114" i="18"/>
  <c r="C56" i="18"/>
  <c r="H56" i="18"/>
  <c r="R56" i="18"/>
  <c r="K114" i="18" s="1"/>
  <c r="C113" i="18"/>
  <c r="J113" i="18"/>
  <c r="B113" i="18"/>
  <c r="A113" i="18"/>
  <c r="C55" i="18"/>
  <c r="H55" i="18"/>
  <c r="R55" i="18"/>
  <c r="K113" i="18" s="1"/>
  <c r="C112" i="18"/>
  <c r="J112" i="18"/>
  <c r="B112" i="18"/>
  <c r="A112" i="18"/>
  <c r="C54" i="18"/>
  <c r="H54" i="18"/>
  <c r="R54" i="18"/>
  <c r="K112" i="18" s="1"/>
  <c r="C111" i="18"/>
  <c r="J111" i="18"/>
  <c r="B111" i="18"/>
  <c r="A111" i="18"/>
  <c r="C53" i="18"/>
  <c r="H53" i="18"/>
  <c r="R53" i="18"/>
  <c r="K111" i="18" s="1"/>
  <c r="C110" i="18"/>
  <c r="J110" i="18"/>
  <c r="B110" i="18"/>
  <c r="A110" i="18"/>
  <c r="C52" i="18"/>
  <c r="H52" i="18"/>
  <c r="R52" i="18"/>
  <c r="K110" i="18" s="1"/>
  <c r="C109" i="18"/>
  <c r="J109" i="18"/>
  <c r="B109" i="18"/>
  <c r="A109" i="18"/>
  <c r="C51" i="18"/>
  <c r="H51" i="18"/>
  <c r="R51" i="18"/>
  <c r="K109" i="18" s="1"/>
  <c r="C108" i="18"/>
  <c r="J108" i="18"/>
  <c r="B108" i="18"/>
  <c r="A108" i="18"/>
  <c r="C50" i="18"/>
  <c r="H50" i="18"/>
  <c r="R50" i="18"/>
  <c r="K108" i="18" s="1"/>
  <c r="C107" i="18"/>
  <c r="J107" i="18"/>
  <c r="B107" i="18"/>
  <c r="A107" i="18"/>
  <c r="C49" i="18"/>
  <c r="H49" i="18"/>
  <c r="R49" i="18"/>
  <c r="K107" i="18" s="1"/>
  <c r="C106" i="18"/>
  <c r="J106" i="18"/>
  <c r="B106" i="18"/>
  <c r="A106" i="18"/>
  <c r="C48" i="18"/>
  <c r="H48" i="18"/>
  <c r="R48" i="18"/>
  <c r="K106" i="18" s="1"/>
  <c r="C105" i="18"/>
  <c r="J105" i="18"/>
  <c r="B105" i="18"/>
  <c r="A105" i="18"/>
  <c r="C47" i="18"/>
  <c r="H47" i="18"/>
  <c r="R47" i="18"/>
  <c r="K105" i="18" s="1"/>
  <c r="C104" i="18"/>
  <c r="J104" i="18"/>
  <c r="B104" i="18"/>
  <c r="A104" i="18"/>
  <c r="C46" i="18"/>
  <c r="H46" i="18"/>
  <c r="R46" i="18"/>
  <c r="K104" i="18" s="1"/>
  <c r="C103" i="18"/>
  <c r="J103" i="18"/>
  <c r="B103" i="18"/>
  <c r="A103" i="18"/>
  <c r="C45" i="18"/>
  <c r="H45" i="18"/>
  <c r="R45" i="18"/>
  <c r="K103" i="18" s="1"/>
  <c r="C102" i="18"/>
  <c r="J102" i="18"/>
  <c r="B102" i="18"/>
  <c r="A102" i="18"/>
  <c r="C44" i="18"/>
  <c r="H44" i="18"/>
  <c r="R44" i="18"/>
  <c r="K102" i="18" s="1"/>
  <c r="C101" i="18"/>
  <c r="J101" i="18"/>
  <c r="B101" i="18"/>
  <c r="A101" i="18"/>
  <c r="C43" i="18"/>
  <c r="H43" i="18"/>
  <c r="R43" i="18"/>
  <c r="K101" i="18" s="1"/>
  <c r="C100" i="18"/>
  <c r="J100" i="18"/>
  <c r="B100" i="18"/>
  <c r="A100" i="18"/>
  <c r="C42" i="18"/>
  <c r="H42" i="18"/>
  <c r="R42" i="18"/>
  <c r="K100" i="18" s="1"/>
  <c r="C99" i="18"/>
  <c r="J99" i="18"/>
  <c r="B99" i="18"/>
  <c r="A99" i="18"/>
  <c r="C41" i="18"/>
  <c r="H41" i="18"/>
  <c r="R41" i="18"/>
  <c r="K99" i="18" s="1"/>
  <c r="C98" i="18"/>
  <c r="J98" i="18"/>
  <c r="B98" i="18"/>
  <c r="A98" i="18"/>
  <c r="C40" i="18"/>
  <c r="H40" i="18"/>
  <c r="R40" i="18"/>
  <c r="K98" i="18" s="1"/>
  <c r="C97" i="18"/>
  <c r="J97" i="18"/>
  <c r="B97" i="18"/>
  <c r="A97" i="18"/>
  <c r="C39" i="18"/>
  <c r="H39" i="18"/>
  <c r="R39" i="18"/>
  <c r="K97" i="18" s="1"/>
  <c r="C96" i="18"/>
  <c r="J96" i="18"/>
  <c r="B96" i="18"/>
  <c r="A96" i="18"/>
  <c r="C38" i="18"/>
  <c r="H38" i="18"/>
  <c r="R38" i="18"/>
  <c r="K96" i="18" s="1"/>
  <c r="C95" i="18"/>
  <c r="J95" i="18"/>
  <c r="B95" i="18"/>
  <c r="A95" i="18"/>
  <c r="C37" i="18"/>
  <c r="H37" i="18"/>
  <c r="R37" i="18"/>
  <c r="K95" i="18" s="1"/>
  <c r="C94" i="18"/>
  <c r="J94" i="18"/>
  <c r="B94" i="18"/>
  <c r="A94" i="18"/>
  <c r="C36" i="18"/>
  <c r="H36" i="18"/>
  <c r="R36" i="18"/>
  <c r="K94" i="18" s="1"/>
  <c r="C93" i="18"/>
  <c r="J93" i="18"/>
  <c r="B93" i="18"/>
  <c r="A93" i="18"/>
  <c r="C35" i="18"/>
  <c r="H35" i="18"/>
  <c r="R35" i="18"/>
  <c r="K93" i="18" s="1"/>
  <c r="C92" i="18"/>
  <c r="J92" i="18"/>
  <c r="B92" i="18"/>
  <c r="A92" i="18"/>
  <c r="C34" i="18"/>
  <c r="H34" i="18"/>
  <c r="R34" i="18"/>
  <c r="K92" i="18" s="1"/>
  <c r="C91" i="18"/>
  <c r="J91" i="18"/>
  <c r="B91" i="18"/>
  <c r="A91" i="18"/>
  <c r="C33" i="18"/>
  <c r="H33" i="18"/>
  <c r="R33" i="18"/>
  <c r="K91" i="18" s="1"/>
  <c r="C90" i="18"/>
  <c r="J90" i="18"/>
  <c r="B90" i="18"/>
  <c r="A90" i="18"/>
  <c r="C32" i="18"/>
  <c r="H32" i="18"/>
  <c r="R32" i="18"/>
  <c r="K90" i="18" s="1"/>
  <c r="C89" i="18"/>
  <c r="J89" i="18"/>
  <c r="B89" i="18"/>
  <c r="A89" i="18"/>
  <c r="C31" i="18"/>
  <c r="H31" i="18"/>
  <c r="R31" i="18"/>
  <c r="K89" i="18" s="1"/>
  <c r="C88" i="18"/>
  <c r="J88" i="18"/>
  <c r="B88" i="18"/>
  <c r="A88" i="18"/>
  <c r="C30" i="18"/>
  <c r="H30" i="18"/>
  <c r="R30" i="18"/>
  <c r="K88" i="18" s="1"/>
  <c r="C87" i="18"/>
  <c r="J87" i="18"/>
  <c r="B87" i="18"/>
  <c r="A87" i="18"/>
  <c r="C29" i="18"/>
  <c r="H29" i="18"/>
  <c r="R29" i="18"/>
  <c r="K87" i="18" s="1"/>
  <c r="C86" i="18"/>
  <c r="J86" i="18"/>
  <c r="B86" i="18"/>
  <c r="A86" i="18"/>
  <c r="C28" i="18"/>
  <c r="H28" i="18"/>
  <c r="R28" i="18"/>
  <c r="K86" i="18" s="1"/>
  <c r="C85" i="18"/>
  <c r="J85" i="18"/>
  <c r="B85" i="18"/>
  <c r="A85" i="18"/>
  <c r="C27" i="18"/>
  <c r="H27" i="18"/>
  <c r="R27" i="18"/>
  <c r="K85" i="18" s="1"/>
  <c r="C84" i="18"/>
  <c r="J84" i="18"/>
  <c r="B84" i="18"/>
  <c r="A84" i="18"/>
  <c r="C26" i="18"/>
  <c r="H26" i="18"/>
  <c r="R26" i="18"/>
  <c r="K84" i="18" s="1"/>
  <c r="C83" i="18"/>
  <c r="J83" i="18"/>
  <c r="B83" i="18"/>
  <c r="A83" i="18"/>
  <c r="C25" i="18"/>
  <c r="H25" i="18"/>
  <c r="R25" i="18"/>
  <c r="K83" i="18" s="1"/>
  <c r="C82" i="18"/>
  <c r="J82" i="18"/>
  <c r="B82" i="18"/>
  <c r="A82" i="18"/>
  <c r="C24" i="18"/>
  <c r="H24" i="18"/>
  <c r="R24" i="18"/>
  <c r="K82" i="18" s="1"/>
  <c r="C81" i="18"/>
  <c r="J81" i="18"/>
  <c r="B81" i="18"/>
  <c r="A81" i="18"/>
  <c r="C23" i="18"/>
  <c r="H23" i="18"/>
  <c r="R23" i="18"/>
  <c r="K81" i="18" s="1"/>
  <c r="C80" i="18"/>
  <c r="J80" i="18"/>
  <c r="B80" i="18"/>
  <c r="A80" i="18"/>
  <c r="C22" i="18"/>
  <c r="H22" i="18"/>
  <c r="R22" i="18"/>
  <c r="K80" i="18" s="1"/>
  <c r="C79" i="18"/>
  <c r="J79" i="18"/>
  <c r="B79" i="18"/>
  <c r="A79" i="18"/>
  <c r="C21" i="18"/>
  <c r="H21" i="18"/>
  <c r="R21" i="18"/>
  <c r="K79" i="18" s="1"/>
  <c r="C78" i="18"/>
  <c r="J78" i="18"/>
  <c r="B78" i="18"/>
  <c r="A78" i="18"/>
  <c r="C20" i="18"/>
  <c r="H20" i="18"/>
  <c r="R20" i="18"/>
  <c r="K78" i="18" s="1"/>
  <c r="C77" i="18"/>
  <c r="J77" i="18"/>
  <c r="B77" i="18"/>
  <c r="A77" i="18"/>
  <c r="C19" i="18"/>
  <c r="H19" i="18"/>
  <c r="R19" i="18"/>
  <c r="K77" i="18" s="1"/>
  <c r="C76" i="18"/>
  <c r="J76" i="18"/>
  <c r="B76" i="18"/>
  <c r="A76" i="18"/>
  <c r="C18" i="18"/>
  <c r="H18" i="18"/>
  <c r="R18" i="18"/>
  <c r="K76" i="18" s="1"/>
  <c r="C75" i="18"/>
  <c r="J75" i="18"/>
  <c r="B75" i="18"/>
  <c r="A75" i="18"/>
  <c r="C17" i="18"/>
  <c r="H17" i="18"/>
  <c r="R17" i="18"/>
  <c r="K75" i="18" s="1"/>
  <c r="C74" i="18"/>
  <c r="J74" i="18"/>
  <c r="B74" i="18"/>
  <c r="A74" i="18"/>
  <c r="C16" i="18"/>
  <c r="H16" i="18"/>
  <c r="R16" i="18"/>
  <c r="K74" i="18" s="1"/>
  <c r="C73" i="18"/>
  <c r="J73" i="18"/>
  <c r="B73" i="18"/>
  <c r="A73" i="18"/>
  <c r="C15" i="18"/>
  <c r="H15" i="18"/>
  <c r="R15" i="18"/>
  <c r="K73" i="18" s="1"/>
  <c r="C72" i="18"/>
  <c r="J72" i="18"/>
  <c r="B72" i="18"/>
  <c r="A72" i="18"/>
  <c r="C14" i="18"/>
  <c r="H14" i="18"/>
  <c r="R14" i="18"/>
  <c r="K72" i="18" s="1"/>
  <c r="C71" i="18"/>
  <c r="J71" i="18"/>
  <c r="B71" i="18"/>
  <c r="A71" i="18"/>
  <c r="C13" i="18"/>
  <c r="H13" i="18"/>
  <c r="R13" i="18"/>
  <c r="K71" i="18" s="1"/>
  <c r="C70" i="18"/>
  <c r="J70" i="18"/>
  <c r="B70" i="18"/>
  <c r="A70" i="18"/>
  <c r="C12" i="18"/>
  <c r="H12" i="18"/>
  <c r="R12" i="18"/>
  <c r="K70" i="18" s="1"/>
  <c r="C69" i="18"/>
  <c r="J69" i="18"/>
  <c r="B69" i="18"/>
  <c r="A69" i="18"/>
  <c r="C11" i="18"/>
  <c r="H11" i="18"/>
  <c r="R11" i="18"/>
  <c r="K69" i="18" s="1"/>
  <c r="C68" i="18"/>
  <c r="J68" i="18"/>
  <c r="B68" i="18"/>
  <c r="A68" i="18"/>
  <c r="C10" i="18"/>
  <c r="H10" i="18"/>
  <c r="R10" i="18"/>
  <c r="K68" i="18" s="1"/>
  <c r="C67" i="18"/>
  <c r="J67" i="18"/>
  <c r="B67" i="18"/>
  <c r="A67" i="18"/>
  <c r="C9" i="18"/>
  <c r="H9" i="18"/>
  <c r="R9" i="18"/>
  <c r="K67" i="18" s="1"/>
  <c r="C59" i="16"/>
  <c r="J59" i="16"/>
  <c r="B59" i="16"/>
  <c r="A59" i="16"/>
  <c r="C29" i="16"/>
  <c r="H29" i="16"/>
  <c r="R29" i="16"/>
  <c r="K59" i="16" s="1"/>
  <c r="C58" i="16"/>
  <c r="J58" i="16"/>
  <c r="B58" i="16"/>
  <c r="A58" i="16"/>
  <c r="C28" i="16"/>
  <c r="H28" i="16"/>
  <c r="C57" i="16"/>
  <c r="J57" i="16"/>
  <c r="B57" i="16"/>
  <c r="A57" i="16"/>
  <c r="C27" i="16"/>
  <c r="H27" i="16"/>
  <c r="R27" i="16"/>
  <c r="K57" i="16" s="1"/>
  <c r="C56" i="16"/>
  <c r="J56" i="16"/>
  <c r="B56" i="16"/>
  <c r="A56" i="16"/>
  <c r="C26" i="16"/>
  <c r="H26" i="16"/>
  <c r="R26" i="16"/>
  <c r="K56" i="16" s="1"/>
  <c r="C55" i="16"/>
  <c r="J55" i="16"/>
  <c r="B55" i="16"/>
  <c r="A55" i="16"/>
  <c r="C25" i="16"/>
  <c r="H25" i="16"/>
  <c r="R25" i="16"/>
  <c r="K55" i="16" s="1"/>
  <c r="C54" i="16"/>
  <c r="J54" i="16"/>
  <c r="B54" i="16"/>
  <c r="A54" i="16"/>
  <c r="C24" i="16"/>
  <c r="H24" i="16"/>
  <c r="R24" i="16"/>
  <c r="K54" i="16" s="1"/>
  <c r="C53" i="16"/>
  <c r="J53" i="16"/>
  <c r="B53" i="16"/>
  <c r="A53" i="16"/>
  <c r="C23" i="16"/>
  <c r="H23" i="16"/>
  <c r="R23" i="16"/>
  <c r="K53" i="16" s="1"/>
  <c r="C52" i="16"/>
  <c r="J52" i="16"/>
  <c r="B52" i="16"/>
  <c r="A52" i="16"/>
  <c r="C22" i="16"/>
  <c r="H22" i="16"/>
  <c r="C50" i="16"/>
  <c r="J50" i="16"/>
  <c r="B50" i="16"/>
  <c r="A50" i="16"/>
  <c r="C20" i="16"/>
  <c r="H20" i="16"/>
  <c r="R20" i="16"/>
  <c r="K50" i="16" s="1"/>
  <c r="C49" i="16"/>
  <c r="J49" i="16"/>
  <c r="B49" i="16"/>
  <c r="A49" i="16"/>
  <c r="C19" i="16"/>
  <c r="H19" i="16"/>
  <c r="C48" i="16"/>
  <c r="J48" i="16"/>
  <c r="B48" i="16"/>
  <c r="A48" i="16"/>
  <c r="C18" i="16"/>
  <c r="H18" i="16"/>
  <c r="C47" i="16"/>
  <c r="J47" i="16"/>
  <c r="B47" i="16"/>
  <c r="A47" i="16"/>
  <c r="C17" i="16"/>
  <c r="H17" i="16"/>
  <c r="R17" i="16"/>
  <c r="K47" i="16" s="1"/>
  <c r="C46" i="16"/>
  <c r="J46" i="16"/>
  <c r="B46" i="16"/>
  <c r="A46" i="16"/>
  <c r="C16" i="16"/>
  <c r="H16" i="16"/>
  <c r="R16" i="16"/>
  <c r="K46" i="16" s="1"/>
  <c r="C45" i="16"/>
  <c r="J45" i="16"/>
  <c r="B45" i="16"/>
  <c r="A45" i="16"/>
  <c r="C15" i="16"/>
  <c r="H15" i="16"/>
  <c r="R15" i="16"/>
  <c r="K45" i="16" s="1"/>
  <c r="C44" i="16"/>
  <c r="J44" i="16"/>
  <c r="B44" i="16"/>
  <c r="A44" i="16"/>
  <c r="C14" i="16"/>
  <c r="H14" i="16"/>
  <c r="C43" i="16"/>
  <c r="J43" i="16"/>
  <c r="B43" i="16"/>
  <c r="A43" i="16"/>
  <c r="C13" i="16"/>
  <c r="H13" i="16"/>
  <c r="C42" i="16"/>
  <c r="J42" i="16"/>
  <c r="B42" i="16"/>
  <c r="A42" i="16"/>
  <c r="C12" i="16"/>
  <c r="H12" i="16"/>
  <c r="C41" i="16"/>
  <c r="J41" i="16"/>
  <c r="B41" i="16"/>
  <c r="A41" i="16"/>
  <c r="C11" i="16"/>
  <c r="H11" i="16"/>
  <c r="C40" i="16"/>
  <c r="J40" i="16"/>
  <c r="B40" i="16"/>
  <c r="A40" i="16"/>
  <c r="C10" i="16"/>
  <c r="H10" i="16"/>
  <c r="R10" i="16"/>
  <c r="K40" i="16" s="1"/>
  <c r="C39" i="16"/>
  <c r="J39" i="16"/>
  <c r="B39" i="16"/>
  <c r="A39" i="16"/>
  <c r="C9" i="16"/>
  <c r="H9" i="16"/>
  <c r="R9" i="16"/>
  <c r="K39" i="16" s="1"/>
  <c r="C77" i="15"/>
  <c r="J77" i="15"/>
  <c r="B77" i="15"/>
  <c r="A77" i="15"/>
  <c r="C38" i="15"/>
  <c r="H38" i="15"/>
  <c r="R38" i="15"/>
  <c r="K77" i="15" s="1"/>
  <c r="C76" i="15"/>
  <c r="J76" i="15"/>
  <c r="B76" i="15"/>
  <c r="A76" i="15"/>
  <c r="C37" i="15"/>
  <c r="H37" i="15"/>
  <c r="R37" i="15"/>
  <c r="K76" i="15" s="1"/>
  <c r="C75" i="15"/>
  <c r="J75" i="15"/>
  <c r="B75" i="15"/>
  <c r="A75" i="15"/>
  <c r="C36" i="15"/>
  <c r="H36" i="15"/>
  <c r="R36" i="15"/>
  <c r="K75" i="15" s="1"/>
  <c r="C74" i="15"/>
  <c r="J74" i="15"/>
  <c r="B74" i="15"/>
  <c r="A74" i="15"/>
  <c r="C35" i="15"/>
  <c r="H35" i="15"/>
  <c r="R35" i="15"/>
  <c r="K74" i="15" s="1"/>
  <c r="C73" i="15"/>
  <c r="J73" i="15"/>
  <c r="B73" i="15"/>
  <c r="A73" i="15"/>
  <c r="C34" i="15"/>
  <c r="H34" i="15"/>
  <c r="R34" i="15"/>
  <c r="K73" i="15" s="1"/>
  <c r="C72" i="15"/>
  <c r="J72" i="15"/>
  <c r="B72" i="15"/>
  <c r="A72" i="15"/>
  <c r="C33" i="15"/>
  <c r="H33" i="15"/>
  <c r="R33" i="15"/>
  <c r="K72" i="15" s="1"/>
  <c r="C71" i="15"/>
  <c r="J71" i="15"/>
  <c r="B71" i="15"/>
  <c r="A71" i="15"/>
  <c r="C32" i="15"/>
  <c r="H32" i="15"/>
  <c r="R32" i="15"/>
  <c r="K71" i="15" s="1"/>
  <c r="C70" i="15"/>
  <c r="J70" i="15"/>
  <c r="B70" i="15"/>
  <c r="A70" i="15"/>
  <c r="C31" i="15"/>
  <c r="H31" i="15"/>
  <c r="R31" i="15"/>
  <c r="K70" i="15" s="1"/>
  <c r="C69" i="15"/>
  <c r="J69" i="15"/>
  <c r="B69" i="15"/>
  <c r="A69" i="15"/>
  <c r="C30" i="15"/>
  <c r="H30" i="15"/>
  <c r="R30" i="15"/>
  <c r="K69" i="15" s="1"/>
  <c r="C68" i="15"/>
  <c r="J68" i="15"/>
  <c r="B68" i="15"/>
  <c r="A68" i="15"/>
  <c r="C29" i="15"/>
  <c r="H29" i="15"/>
  <c r="R29" i="15"/>
  <c r="K68" i="15" s="1"/>
  <c r="C67" i="15"/>
  <c r="J67" i="15"/>
  <c r="B67" i="15"/>
  <c r="A67" i="15"/>
  <c r="C28" i="15"/>
  <c r="H28" i="15"/>
  <c r="R28" i="15"/>
  <c r="K67" i="15" s="1"/>
  <c r="C66" i="15"/>
  <c r="J66" i="15"/>
  <c r="B66" i="15"/>
  <c r="A66" i="15"/>
  <c r="C27" i="15"/>
  <c r="H27" i="15"/>
  <c r="R27" i="15"/>
  <c r="K66" i="15" s="1"/>
  <c r="C65" i="15"/>
  <c r="J65" i="15"/>
  <c r="B65" i="15"/>
  <c r="A65" i="15"/>
  <c r="C26" i="15"/>
  <c r="H26" i="15"/>
  <c r="R26" i="15"/>
  <c r="K65" i="15" s="1"/>
  <c r="C64" i="15"/>
  <c r="J64" i="15"/>
  <c r="B64" i="15"/>
  <c r="A64" i="15"/>
  <c r="C25" i="15"/>
  <c r="H25" i="15"/>
  <c r="R25" i="15"/>
  <c r="K64" i="15" s="1"/>
  <c r="C63" i="15"/>
  <c r="J63" i="15"/>
  <c r="B63" i="15"/>
  <c r="A63" i="15"/>
  <c r="C24" i="15"/>
  <c r="H24" i="15"/>
  <c r="R24" i="15"/>
  <c r="K63" i="15" s="1"/>
  <c r="C62" i="15"/>
  <c r="J62" i="15"/>
  <c r="B62" i="15"/>
  <c r="A62" i="15"/>
  <c r="C23" i="15"/>
  <c r="H23" i="15"/>
  <c r="R23" i="15"/>
  <c r="K62" i="15" s="1"/>
  <c r="C61" i="15"/>
  <c r="J61" i="15"/>
  <c r="B61" i="15"/>
  <c r="A61" i="15"/>
  <c r="C22" i="15"/>
  <c r="H22" i="15"/>
  <c r="R22" i="15"/>
  <c r="K61" i="15" s="1"/>
  <c r="C60" i="15"/>
  <c r="J60" i="15"/>
  <c r="B60" i="15"/>
  <c r="A60" i="15"/>
  <c r="C21" i="15"/>
  <c r="H21" i="15"/>
  <c r="R21" i="15"/>
  <c r="K60" i="15" s="1"/>
  <c r="C59" i="15"/>
  <c r="J59" i="15"/>
  <c r="B59" i="15"/>
  <c r="A59" i="15"/>
  <c r="C20" i="15"/>
  <c r="H20" i="15"/>
  <c r="R20" i="15"/>
  <c r="K59" i="15" s="1"/>
  <c r="C58" i="15"/>
  <c r="J58" i="15"/>
  <c r="B58" i="15"/>
  <c r="A58" i="15"/>
  <c r="C19" i="15"/>
  <c r="H19" i="15"/>
  <c r="R19" i="15"/>
  <c r="K58" i="15" s="1"/>
  <c r="C57" i="15"/>
  <c r="J57" i="15"/>
  <c r="B57" i="15"/>
  <c r="A57" i="15"/>
  <c r="C18" i="15"/>
  <c r="H18" i="15"/>
  <c r="R18" i="15"/>
  <c r="K57" i="15" s="1"/>
  <c r="C56" i="15"/>
  <c r="J56" i="15"/>
  <c r="B56" i="15"/>
  <c r="A56" i="15"/>
  <c r="C17" i="15"/>
  <c r="H17" i="15"/>
  <c r="R17" i="15"/>
  <c r="K56" i="15" s="1"/>
  <c r="C55" i="15"/>
  <c r="J55" i="15"/>
  <c r="B55" i="15"/>
  <c r="A55" i="15"/>
  <c r="C16" i="15"/>
  <c r="H16" i="15"/>
  <c r="R16" i="15"/>
  <c r="K55" i="15" s="1"/>
  <c r="C54" i="15"/>
  <c r="J54" i="15"/>
  <c r="B54" i="15"/>
  <c r="A54" i="15"/>
  <c r="C15" i="15"/>
  <c r="H15" i="15"/>
  <c r="R15" i="15"/>
  <c r="K54" i="15" s="1"/>
  <c r="C53" i="15"/>
  <c r="J53" i="15"/>
  <c r="B53" i="15"/>
  <c r="A53" i="15"/>
  <c r="C14" i="15"/>
  <c r="H14" i="15"/>
  <c r="R14" i="15"/>
  <c r="K53" i="15" s="1"/>
  <c r="C52" i="15"/>
  <c r="J52" i="15"/>
  <c r="B52" i="15"/>
  <c r="A52" i="15"/>
  <c r="C13" i="15"/>
  <c r="H13" i="15"/>
  <c r="R13" i="15"/>
  <c r="K52" i="15" s="1"/>
  <c r="C51" i="15"/>
  <c r="J51" i="15"/>
  <c r="B51" i="15"/>
  <c r="A51" i="15"/>
  <c r="C12" i="15"/>
  <c r="H12" i="15"/>
  <c r="R12" i="15"/>
  <c r="K51" i="15" s="1"/>
  <c r="C50" i="15"/>
  <c r="J50" i="15"/>
  <c r="B50" i="15"/>
  <c r="A50" i="15"/>
  <c r="C11" i="15"/>
  <c r="H11" i="15"/>
  <c r="R11" i="15"/>
  <c r="K50" i="15" s="1"/>
  <c r="C49" i="15"/>
  <c r="J49" i="15"/>
  <c r="B49" i="15"/>
  <c r="A49" i="15"/>
  <c r="C10" i="15"/>
  <c r="H10" i="15"/>
  <c r="R10" i="15"/>
  <c r="K49" i="15" s="1"/>
  <c r="C48" i="15"/>
  <c r="J48" i="15"/>
  <c r="B48" i="15"/>
  <c r="A48" i="15"/>
  <c r="C9" i="15"/>
  <c r="H9" i="15"/>
  <c r="R9" i="15"/>
  <c r="K48" i="15" s="1"/>
  <c r="G207" i="13"/>
  <c r="R200" i="13"/>
  <c r="R199" i="13"/>
  <c r="R198" i="13"/>
  <c r="R197" i="13"/>
  <c r="R196" i="13"/>
  <c r="R195" i="13"/>
  <c r="R194" i="13"/>
  <c r="R193" i="13"/>
  <c r="R192" i="13"/>
  <c r="R191" i="13"/>
  <c r="R189" i="13"/>
  <c r="R186" i="13"/>
  <c r="R185" i="13"/>
  <c r="R184" i="13"/>
  <c r="R183" i="13"/>
  <c r="R182" i="13"/>
  <c r="R181" i="13"/>
  <c r="R179" i="13"/>
  <c r="R173" i="13"/>
  <c r="R172" i="13"/>
  <c r="R171" i="13"/>
  <c r="R170" i="13"/>
  <c r="R168" i="13"/>
  <c r="R166" i="13"/>
  <c r="R165" i="13"/>
  <c r="R163" i="13"/>
  <c r="R161" i="13"/>
  <c r="R160" i="13"/>
  <c r="R159" i="13"/>
  <c r="R158" i="13"/>
  <c r="R157" i="13"/>
  <c r="R156" i="13"/>
  <c r="R154" i="13"/>
  <c r="R153" i="13"/>
  <c r="R151" i="13"/>
  <c r="R150" i="13"/>
  <c r="R149" i="13"/>
  <c r="R148" i="13"/>
  <c r="R146" i="13"/>
  <c r="R145" i="13"/>
  <c r="R143" i="13"/>
  <c r="R142" i="13"/>
  <c r="R140" i="13"/>
  <c r="R139" i="13"/>
  <c r="R138" i="13"/>
  <c r="R136" i="13"/>
  <c r="R135" i="13"/>
  <c r="R134" i="13"/>
  <c r="R133" i="13"/>
  <c r="R131" i="13"/>
  <c r="R130" i="13"/>
  <c r="R129" i="13"/>
  <c r="R128" i="13"/>
  <c r="R127" i="13"/>
  <c r="R126" i="13"/>
  <c r="R125" i="13"/>
  <c r="R124" i="13"/>
  <c r="R123" i="13"/>
  <c r="R120" i="13"/>
  <c r="O120" i="13" s="1"/>
  <c r="R118" i="13"/>
  <c r="R117" i="13"/>
  <c r="R116" i="13"/>
  <c r="R114" i="13"/>
  <c r="R113" i="13"/>
  <c r="R112" i="13"/>
  <c r="R110" i="13"/>
  <c r="R109" i="13"/>
  <c r="R108" i="13"/>
  <c r="R107" i="13"/>
  <c r="R106" i="13"/>
  <c r="R105" i="13"/>
  <c r="R104" i="13"/>
  <c r="R103" i="13"/>
  <c r="R102" i="13"/>
  <c r="R101" i="13"/>
  <c r="R100" i="13"/>
  <c r="R96" i="13"/>
  <c r="R95" i="13"/>
  <c r="R93" i="13"/>
  <c r="R89" i="13"/>
  <c r="R88" i="13"/>
  <c r="R85" i="13"/>
  <c r="R83" i="13"/>
  <c r="R82" i="13"/>
  <c r="R81" i="13"/>
  <c r="R79" i="13"/>
  <c r="R78" i="13"/>
  <c r="R77" i="13"/>
  <c r="R76" i="13"/>
  <c r="R75" i="13"/>
  <c r="R74" i="13"/>
  <c r="R73" i="13"/>
  <c r="R72" i="13"/>
  <c r="R71" i="13"/>
  <c r="R70" i="13"/>
  <c r="R68" i="13"/>
  <c r="R66" i="13"/>
  <c r="R65" i="13"/>
  <c r="R64" i="13"/>
  <c r="R63" i="13"/>
  <c r="R62" i="13"/>
  <c r="R61" i="13"/>
  <c r="R60" i="13"/>
  <c r="R59" i="13"/>
  <c r="R58" i="13"/>
  <c r="R57" i="13"/>
  <c r="R56" i="13"/>
  <c r="R55" i="13"/>
  <c r="R54" i="13"/>
  <c r="R49" i="13"/>
  <c r="R47" i="13"/>
  <c r="R46" i="13"/>
  <c r="R42" i="13"/>
  <c r="R40" i="13"/>
  <c r="R39" i="13"/>
  <c r="R37" i="13"/>
  <c r="R35" i="13"/>
  <c r="R34" i="13"/>
  <c r="R33" i="13"/>
  <c r="R32" i="13"/>
  <c r="R31" i="13"/>
  <c r="R30" i="13"/>
  <c r="R29" i="13"/>
  <c r="R28" i="13"/>
  <c r="R27" i="13"/>
  <c r="R26" i="13"/>
  <c r="R25" i="13"/>
  <c r="R24" i="13"/>
  <c r="R23" i="13"/>
  <c r="R17" i="13"/>
  <c r="R16" i="13"/>
  <c r="R15" i="13"/>
  <c r="R13" i="13"/>
  <c r="R11" i="13"/>
  <c r="R10" i="13"/>
  <c r="R9" i="13"/>
  <c r="I70" i="11"/>
  <c r="F70" i="11"/>
  <c r="O56" i="11"/>
  <c r="O55" i="11"/>
  <c r="O53" i="11"/>
  <c r="O51" i="11"/>
  <c r="O43" i="11"/>
  <c r="O41" i="11"/>
  <c r="O23" i="11"/>
  <c r="C61" i="11"/>
  <c r="I61" i="11"/>
  <c r="C60" i="11"/>
  <c r="I60" i="11"/>
  <c r="C59" i="11"/>
  <c r="I59" i="11"/>
  <c r="C58" i="11"/>
  <c r="I58" i="11"/>
  <c r="C57" i="11"/>
  <c r="I57" i="11"/>
  <c r="C56" i="11"/>
  <c r="I56" i="11"/>
  <c r="C55" i="11"/>
  <c r="I55" i="11"/>
  <c r="C54" i="11"/>
  <c r="I54" i="11"/>
  <c r="C53" i="11"/>
  <c r="I53" i="11"/>
  <c r="C52" i="11"/>
  <c r="I52" i="11"/>
  <c r="C51" i="11"/>
  <c r="I51" i="11"/>
  <c r="C50" i="11"/>
  <c r="I50" i="11"/>
  <c r="C49" i="11"/>
  <c r="I49" i="11"/>
  <c r="C48" i="11"/>
  <c r="I48" i="11"/>
  <c r="C47" i="11"/>
  <c r="I47" i="11"/>
  <c r="C46" i="11"/>
  <c r="I46" i="11"/>
  <c r="C45" i="11"/>
  <c r="I45" i="11"/>
  <c r="C44" i="11"/>
  <c r="I44" i="11"/>
  <c r="C43" i="11"/>
  <c r="I43" i="11"/>
  <c r="C42" i="11"/>
  <c r="I42" i="11"/>
  <c r="C41" i="11"/>
  <c r="I41" i="11"/>
  <c r="C40" i="11"/>
  <c r="I40" i="11"/>
  <c r="C39" i="11"/>
  <c r="I39" i="11"/>
  <c r="C38" i="11"/>
  <c r="I38" i="11"/>
  <c r="C37" i="11"/>
  <c r="I37" i="11"/>
  <c r="C36" i="11"/>
  <c r="I36" i="11"/>
  <c r="C35" i="11"/>
  <c r="I35" i="11"/>
  <c r="C34" i="11"/>
  <c r="I34" i="11"/>
  <c r="C33" i="11"/>
  <c r="I33" i="11"/>
  <c r="C32" i="11"/>
  <c r="I32" i="11"/>
  <c r="C31" i="11"/>
  <c r="I31" i="11"/>
  <c r="C30" i="11"/>
  <c r="I30" i="11"/>
  <c r="C29" i="11"/>
  <c r="I29" i="11"/>
  <c r="C28" i="11"/>
  <c r="I28" i="11"/>
  <c r="C27" i="11"/>
  <c r="I27" i="11"/>
  <c r="C26" i="11"/>
  <c r="I26" i="11"/>
  <c r="C25" i="11"/>
  <c r="I25" i="11"/>
  <c r="C24" i="11"/>
  <c r="I24" i="11"/>
  <c r="C23" i="11"/>
  <c r="I23" i="11"/>
  <c r="C22" i="11"/>
  <c r="I22" i="11"/>
  <c r="C21" i="11"/>
  <c r="I21" i="11"/>
  <c r="C20" i="11"/>
  <c r="I20" i="11"/>
  <c r="C19" i="11"/>
  <c r="I19" i="11"/>
  <c r="C18" i="11"/>
  <c r="I18" i="11"/>
  <c r="C17" i="11"/>
  <c r="I17" i="11"/>
  <c r="C16" i="11"/>
  <c r="I16" i="11"/>
  <c r="C15" i="11"/>
  <c r="I15" i="11"/>
  <c r="C14" i="11"/>
  <c r="I14" i="11"/>
  <c r="C13" i="11"/>
  <c r="I13" i="11"/>
  <c r="C12" i="11"/>
  <c r="I12" i="11"/>
  <c r="C11" i="11"/>
  <c r="I11" i="11"/>
  <c r="C10" i="11"/>
  <c r="I10" i="11"/>
  <c r="C9" i="11"/>
  <c r="I9" i="11"/>
  <c r="O397" i="7"/>
  <c r="P397" i="7" s="1"/>
  <c r="L397" i="7"/>
  <c r="K397" i="7"/>
  <c r="J397" i="7"/>
  <c r="F397" i="7"/>
  <c r="E397" i="7"/>
  <c r="D397" i="7"/>
  <c r="O396" i="7"/>
  <c r="P396" i="7" s="1"/>
  <c r="L395" i="7"/>
  <c r="H395" i="7" s="1"/>
  <c r="K395" i="7"/>
  <c r="J395" i="7"/>
  <c r="F395" i="7"/>
  <c r="E395" i="7"/>
  <c r="D395" i="7"/>
  <c r="O394" i="7"/>
  <c r="L393" i="7"/>
  <c r="K393" i="7"/>
  <c r="J393" i="7"/>
  <c r="I393" i="7" s="1"/>
  <c r="F393" i="7"/>
  <c r="H393" i="7" s="1"/>
  <c r="E393" i="7"/>
  <c r="G393" i="7" s="1"/>
  <c r="D393" i="7"/>
  <c r="C393" i="7" s="1"/>
  <c r="P392" i="7"/>
  <c r="O391" i="7"/>
  <c r="P391" i="7" s="1"/>
  <c r="L391" i="7"/>
  <c r="K391" i="7"/>
  <c r="J391" i="7"/>
  <c r="F391" i="7"/>
  <c r="E391" i="7"/>
  <c r="D391" i="7"/>
  <c r="C391" i="7" s="1"/>
  <c r="P390" i="7"/>
  <c r="O389" i="7"/>
  <c r="P389" i="7" s="1"/>
  <c r="L389" i="7"/>
  <c r="K389" i="7"/>
  <c r="J389" i="7"/>
  <c r="F389" i="7"/>
  <c r="E389" i="7"/>
  <c r="C389" i="7" s="1"/>
  <c r="D389" i="7"/>
  <c r="O387" i="7"/>
  <c r="P387" i="7" s="1"/>
  <c r="L387" i="7"/>
  <c r="K387" i="7"/>
  <c r="J387" i="7"/>
  <c r="F387" i="7"/>
  <c r="E387" i="7"/>
  <c r="C387" i="7" s="1"/>
  <c r="D387" i="7"/>
  <c r="P386" i="7"/>
  <c r="O385" i="7"/>
  <c r="P385" i="7" s="1"/>
  <c r="L385" i="7"/>
  <c r="K385" i="7"/>
  <c r="J385" i="7"/>
  <c r="F385" i="7"/>
  <c r="H385" i="7" s="1"/>
  <c r="E385" i="7"/>
  <c r="D385" i="7"/>
  <c r="P384" i="7"/>
  <c r="O383" i="7"/>
  <c r="P383" i="7" s="1"/>
  <c r="L383" i="7"/>
  <c r="K383" i="7"/>
  <c r="J383" i="7"/>
  <c r="H383" i="7"/>
  <c r="G383" i="7"/>
  <c r="F383" i="7"/>
  <c r="E383" i="7"/>
  <c r="D383" i="7"/>
  <c r="C383" i="7" s="1"/>
  <c r="P382" i="7"/>
  <c r="O381" i="7"/>
  <c r="P381" i="7" s="1"/>
  <c r="L381" i="7"/>
  <c r="H381" i="7" s="1"/>
  <c r="K381" i="7"/>
  <c r="J381" i="7"/>
  <c r="F381" i="7"/>
  <c r="E381" i="7"/>
  <c r="C381" i="7" s="1"/>
  <c r="D381" i="7"/>
  <c r="P380" i="7"/>
  <c r="O379" i="7"/>
  <c r="P379" i="7" s="1"/>
  <c r="L379" i="7"/>
  <c r="K379" i="7"/>
  <c r="J379" i="7"/>
  <c r="F379" i="7"/>
  <c r="E379" i="7"/>
  <c r="D379" i="7"/>
  <c r="P378" i="7"/>
  <c r="O377" i="7"/>
  <c r="P377" i="7" s="1"/>
  <c r="L377" i="7"/>
  <c r="K377" i="7"/>
  <c r="J377" i="7"/>
  <c r="F377" i="7"/>
  <c r="E377" i="7"/>
  <c r="D377" i="7"/>
  <c r="O375" i="7"/>
  <c r="P375" i="7" s="1"/>
  <c r="L375" i="7"/>
  <c r="K375" i="7"/>
  <c r="J375" i="7"/>
  <c r="I375" i="7" s="1"/>
  <c r="F375" i="7"/>
  <c r="E375" i="7"/>
  <c r="D375" i="7"/>
  <c r="C375" i="7" s="1"/>
  <c r="P374" i="7"/>
  <c r="O373" i="7"/>
  <c r="P373" i="7" s="1"/>
  <c r="L373" i="7"/>
  <c r="H373" i="7" s="1"/>
  <c r="K373" i="7"/>
  <c r="J373" i="7"/>
  <c r="F373" i="7"/>
  <c r="E373" i="7"/>
  <c r="D373" i="7"/>
  <c r="O372" i="7"/>
  <c r="L371" i="7"/>
  <c r="K371" i="7"/>
  <c r="J371" i="7"/>
  <c r="F371" i="7"/>
  <c r="E371" i="7"/>
  <c r="D371" i="7"/>
  <c r="P370" i="7"/>
  <c r="O369" i="7"/>
  <c r="P369" i="7" s="1"/>
  <c r="L369" i="7"/>
  <c r="G369" i="7" s="1"/>
  <c r="K369" i="7"/>
  <c r="J369" i="7"/>
  <c r="H369" i="7"/>
  <c r="F369" i="7"/>
  <c r="E369" i="7"/>
  <c r="D369" i="7"/>
  <c r="P368" i="7"/>
  <c r="O367" i="7"/>
  <c r="P367" i="7" s="1"/>
  <c r="O368" i="7"/>
  <c r="O58" i="11" s="1"/>
  <c r="L367" i="7"/>
  <c r="K367" i="7"/>
  <c r="J367" i="7"/>
  <c r="F367" i="7"/>
  <c r="H367" i="7" s="1"/>
  <c r="E367" i="7"/>
  <c r="D367" i="7"/>
  <c r="O366" i="7"/>
  <c r="L365" i="7"/>
  <c r="K365" i="7"/>
  <c r="J365" i="7"/>
  <c r="F365" i="7"/>
  <c r="E365" i="7"/>
  <c r="D365" i="7"/>
  <c r="C365" i="7" s="1"/>
  <c r="O363" i="7"/>
  <c r="P363" i="7" s="1"/>
  <c r="L363" i="7"/>
  <c r="K363" i="7"/>
  <c r="J363" i="7"/>
  <c r="G363" i="7"/>
  <c r="F363" i="7"/>
  <c r="E363" i="7"/>
  <c r="D363" i="7"/>
  <c r="C363" i="7" s="1"/>
  <c r="O361" i="7"/>
  <c r="P361" i="7" s="1"/>
  <c r="L361" i="7"/>
  <c r="K361" i="7"/>
  <c r="J361" i="7"/>
  <c r="I361" i="7" s="1"/>
  <c r="F361" i="7"/>
  <c r="E361" i="7"/>
  <c r="D361" i="7"/>
  <c r="O359" i="7"/>
  <c r="P359" i="7" s="1"/>
  <c r="L359" i="7"/>
  <c r="K359" i="7"/>
  <c r="J359" i="7"/>
  <c r="F359" i="7"/>
  <c r="E359" i="7"/>
  <c r="C359" i="7" s="1"/>
  <c r="D359" i="7"/>
  <c r="O357" i="7"/>
  <c r="P357" i="7" s="1"/>
  <c r="L357" i="7"/>
  <c r="K357" i="7"/>
  <c r="J357" i="7"/>
  <c r="F357" i="7"/>
  <c r="E357" i="7"/>
  <c r="D357" i="7"/>
  <c r="O355" i="7"/>
  <c r="P355" i="7" s="1"/>
  <c r="L355" i="7"/>
  <c r="K355" i="7"/>
  <c r="J355" i="7"/>
  <c r="F355" i="7"/>
  <c r="E355" i="7"/>
  <c r="D355" i="7"/>
  <c r="C355" i="7" s="1"/>
  <c r="O353" i="7"/>
  <c r="P353" i="7" s="1"/>
  <c r="L353" i="7"/>
  <c r="K353" i="7"/>
  <c r="J353" i="7"/>
  <c r="F353" i="7"/>
  <c r="E353" i="7"/>
  <c r="D353" i="7"/>
  <c r="P352" i="7"/>
  <c r="O352" i="7"/>
  <c r="L351" i="7"/>
  <c r="K351" i="7"/>
  <c r="J351" i="7"/>
  <c r="I351" i="7" s="1"/>
  <c r="H351" i="7"/>
  <c r="F351" i="7"/>
  <c r="E351" i="7"/>
  <c r="D351" i="7"/>
  <c r="P350" i="7"/>
  <c r="O349" i="7"/>
  <c r="P349" i="7" s="1"/>
  <c r="L349" i="7"/>
  <c r="K349" i="7"/>
  <c r="J349" i="7"/>
  <c r="F349" i="7"/>
  <c r="G349" i="7" s="1"/>
  <c r="E349" i="7"/>
  <c r="D349" i="7"/>
  <c r="P348" i="7"/>
  <c r="O348" i="7"/>
  <c r="R178" i="13" s="1"/>
  <c r="L347" i="7"/>
  <c r="K347" i="7"/>
  <c r="J347" i="7"/>
  <c r="F347" i="7"/>
  <c r="E347" i="7"/>
  <c r="D347" i="7"/>
  <c r="O346" i="7"/>
  <c r="L345" i="7"/>
  <c r="H345" i="7" s="1"/>
  <c r="K345" i="7"/>
  <c r="J345" i="7"/>
  <c r="G345" i="7"/>
  <c r="F345" i="7"/>
  <c r="E345" i="7"/>
  <c r="D345" i="7"/>
  <c r="C345" i="7" s="1"/>
  <c r="P344" i="7"/>
  <c r="O344" i="7"/>
  <c r="R176" i="13" s="1"/>
  <c r="L343" i="7"/>
  <c r="H343" i="7" s="1"/>
  <c r="K343" i="7"/>
  <c r="J343" i="7"/>
  <c r="F343" i="7"/>
  <c r="E343" i="7"/>
  <c r="D343" i="7"/>
  <c r="C343" i="7" s="1"/>
  <c r="O341" i="7"/>
  <c r="P341" i="7" s="1"/>
  <c r="O342" i="7"/>
  <c r="R175" i="13" s="1"/>
  <c r="L341" i="7"/>
  <c r="K341" i="7"/>
  <c r="J341" i="7"/>
  <c r="F341" i="7"/>
  <c r="E341" i="7"/>
  <c r="D341" i="7"/>
  <c r="O340" i="7"/>
  <c r="R174" i="13" s="1"/>
  <c r="L339" i="7"/>
  <c r="K339" i="7"/>
  <c r="J339" i="7"/>
  <c r="F339" i="7"/>
  <c r="E339" i="7"/>
  <c r="D339" i="7"/>
  <c r="C339" i="7" s="1"/>
  <c r="O337" i="7"/>
  <c r="P337" i="7" s="1"/>
  <c r="C337" i="7"/>
  <c r="L337" i="7"/>
  <c r="K337" i="7"/>
  <c r="J337" i="7"/>
  <c r="I337" i="7" s="1"/>
  <c r="H337" i="7"/>
  <c r="F337" i="7"/>
  <c r="E337" i="7"/>
  <c r="D337" i="7"/>
  <c r="O335" i="7"/>
  <c r="P335" i="7" s="1"/>
  <c r="L335" i="7"/>
  <c r="K335" i="7"/>
  <c r="J335" i="7"/>
  <c r="H335" i="7"/>
  <c r="F335" i="7"/>
  <c r="E335" i="7"/>
  <c r="D335" i="7"/>
  <c r="P334" i="7"/>
  <c r="O334" i="7"/>
  <c r="O333" i="7" s="1"/>
  <c r="P333" i="7" s="1"/>
  <c r="C333" i="7"/>
  <c r="L333" i="7"/>
  <c r="K333" i="7"/>
  <c r="J333" i="7"/>
  <c r="F333" i="7"/>
  <c r="E333" i="7"/>
  <c r="D333" i="7"/>
  <c r="O331" i="7"/>
  <c r="P331" i="7" s="1"/>
  <c r="C331" i="7"/>
  <c r="L331" i="7"/>
  <c r="K331" i="7"/>
  <c r="J331" i="7"/>
  <c r="F331" i="7"/>
  <c r="H331" i="7" s="1"/>
  <c r="E331" i="7"/>
  <c r="D331" i="7"/>
  <c r="O329" i="7"/>
  <c r="P329" i="7" s="1"/>
  <c r="O330" i="7"/>
  <c r="L329" i="7"/>
  <c r="K329" i="7"/>
  <c r="J329" i="7"/>
  <c r="F329" i="7"/>
  <c r="E329" i="7"/>
  <c r="D329" i="7"/>
  <c r="C329" i="7" s="1"/>
  <c r="O327" i="7"/>
  <c r="P327" i="7" s="1"/>
  <c r="C327" i="7"/>
  <c r="L327" i="7"/>
  <c r="K327" i="7"/>
  <c r="J327" i="7"/>
  <c r="F327" i="7"/>
  <c r="E327" i="7"/>
  <c r="D327" i="7"/>
  <c r="P326" i="7"/>
  <c r="O325" i="7"/>
  <c r="P325" i="7" s="1"/>
  <c r="O326" i="7"/>
  <c r="R167" i="13" s="1"/>
  <c r="L325" i="7"/>
  <c r="K325" i="7"/>
  <c r="J325" i="7"/>
  <c r="F325" i="7"/>
  <c r="E325" i="7"/>
  <c r="D325" i="7"/>
  <c r="C325" i="7" s="1"/>
  <c r="O324" i="7"/>
  <c r="O48" i="11" s="1"/>
  <c r="L323" i="7"/>
  <c r="K323" i="7"/>
  <c r="J323" i="7"/>
  <c r="F323" i="7"/>
  <c r="E323" i="7"/>
  <c r="D323" i="7"/>
  <c r="O321" i="7"/>
  <c r="P321" i="7" s="1"/>
  <c r="L321" i="7"/>
  <c r="K321" i="7"/>
  <c r="J321" i="7"/>
  <c r="F321" i="7"/>
  <c r="E321" i="7"/>
  <c r="C321" i="7" s="1"/>
  <c r="D321" i="7"/>
  <c r="O320" i="7"/>
  <c r="L319" i="7"/>
  <c r="K319" i="7"/>
  <c r="J319" i="7"/>
  <c r="I319" i="7" s="1"/>
  <c r="F319" i="7"/>
  <c r="E319" i="7"/>
  <c r="D319" i="7"/>
  <c r="O317" i="7"/>
  <c r="P317" i="7" s="1"/>
  <c r="L317" i="7"/>
  <c r="H317" i="7" s="1"/>
  <c r="K317" i="7"/>
  <c r="G317" i="7" s="1"/>
  <c r="J317" i="7"/>
  <c r="F317" i="7"/>
  <c r="E317" i="7"/>
  <c r="D317" i="7"/>
  <c r="C317" i="7" s="1"/>
  <c r="P316" i="7"/>
  <c r="O316" i="7"/>
  <c r="L315" i="7"/>
  <c r="H315" i="7" s="1"/>
  <c r="K315" i="7"/>
  <c r="J315" i="7"/>
  <c r="F315" i="7"/>
  <c r="E315" i="7"/>
  <c r="D315" i="7"/>
  <c r="C315" i="7" s="1"/>
  <c r="P314" i="7"/>
  <c r="O313" i="7"/>
  <c r="P313" i="7" s="1"/>
  <c r="L313" i="7"/>
  <c r="K313" i="7"/>
  <c r="J313" i="7"/>
  <c r="I313" i="7" s="1"/>
  <c r="F313" i="7"/>
  <c r="E313" i="7"/>
  <c r="D313" i="7"/>
  <c r="P312" i="7"/>
  <c r="O311" i="7"/>
  <c r="P311" i="7" s="1"/>
  <c r="L311" i="7"/>
  <c r="H311" i="7" s="1"/>
  <c r="K311" i="7"/>
  <c r="J311" i="7"/>
  <c r="F311" i="7"/>
  <c r="E311" i="7"/>
  <c r="D311" i="7"/>
  <c r="C311" i="7" s="1"/>
  <c r="P310" i="7"/>
  <c r="O309" i="7"/>
  <c r="P309" i="7" s="1"/>
  <c r="L309" i="7"/>
  <c r="K309" i="7"/>
  <c r="J309" i="7"/>
  <c r="F309" i="7"/>
  <c r="E309" i="7"/>
  <c r="C309" i="7" s="1"/>
  <c r="D309" i="7"/>
  <c r="P308" i="7"/>
  <c r="O307" i="7"/>
  <c r="P307" i="7" s="1"/>
  <c r="L307" i="7"/>
  <c r="K307" i="7"/>
  <c r="J307" i="7"/>
  <c r="F307" i="7"/>
  <c r="G307" i="7" s="1"/>
  <c r="E307" i="7"/>
  <c r="D307" i="7"/>
  <c r="O305" i="7"/>
  <c r="P305" i="7" s="1"/>
  <c r="L305" i="7"/>
  <c r="K305" i="7"/>
  <c r="J305" i="7"/>
  <c r="F305" i="7"/>
  <c r="E305" i="7"/>
  <c r="D305" i="7"/>
  <c r="P304" i="7"/>
  <c r="O303" i="7"/>
  <c r="P303" i="7" s="1"/>
  <c r="L303" i="7"/>
  <c r="K303" i="7"/>
  <c r="J303" i="7"/>
  <c r="I303" i="7" s="1"/>
  <c r="F303" i="7"/>
  <c r="E303" i="7"/>
  <c r="D303" i="7"/>
  <c r="P302" i="7"/>
  <c r="O301" i="7"/>
  <c r="P301" i="7" s="1"/>
  <c r="O302" i="7"/>
  <c r="L301" i="7"/>
  <c r="K301" i="7"/>
  <c r="J301" i="7"/>
  <c r="F301" i="7"/>
  <c r="E301" i="7"/>
  <c r="D301" i="7"/>
  <c r="O299" i="7"/>
  <c r="P299" i="7" s="1"/>
  <c r="L299" i="7"/>
  <c r="K299" i="7"/>
  <c r="J299" i="7"/>
  <c r="H299" i="7"/>
  <c r="G299" i="7"/>
  <c r="F299" i="7"/>
  <c r="E299" i="7"/>
  <c r="D299" i="7"/>
  <c r="C299" i="7" s="1"/>
  <c r="P298" i="7"/>
  <c r="O297" i="7"/>
  <c r="P297" i="7" s="1"/>
  <c r="L297" i="7"/>
  <c r="K297" i="7"/>
  <c r="G297" i="7" s="1"/>
  <c r="J297" i="7"/>
  <c r="F297" i="7"/>
  <c r="E297" i="7"/>
  <c r="D297" i="7"/>
  <c r="O296" i="7"/>
  <c r="O45" i="11" s="1"/>
  <c r="L295" i="7"/>
  <c r="K295" i="7"/>
  <c r="J295" i="7"/>
  <c r="I295" i="7" s="1"/>
  <c r="F295" i="7"/>
  <c r="E295" i="7"/>
  <c r="D295" i="7"/>
  <c r="O293" i="7"/>
  <c r="P293" i="7" s="1"/>
  <c r="L293" i="7"/>
  <c r="K293" i="7"/>
  <c r="J293" i="7"/>
  <c r="H293" i="7"/>
  <c r="F293" i="7"/>
  <c r="E293" i="7"/>
  <c r="D293" i="7"/>
  <c r="P292" i="7"/>
  <c r="O291" i="7"/>
  <c r="P291" i="7" s="1"/>
  <c r="L291" i="7"/>
  <c r="G291" i="7" s="1"/>
  <c r="K291" i="7"/>
  <c r="J291" i="7"/>
  <c r="I291" i="7" s="1"/>
  <c r="H291" i="7"/>
  <c r="F291" i="7"/>
  <c r="E291" i="7"/>
  <c r="D291" i="7"/>
  <c r="C291" i="7" s="1"/>
  <c r="P290" i="7"/>
  <c r="O289" i="7"/>
  <c r="P289" i="7" s="1"/>
  <c r="L289" i="7"/>
  <c r="H289" i="7" s="1"/>
  <c r="K289" i="7"/>
  <c r="J289" i="7"/>
  <c r="F289" i="7"/>
  <c r="E289" i="7"/>
  <c r="D289" i="7"/>
  <c r="C289" i="7" s="1"/>
  <c r="P288" i="7"/>
  <c r="O287" i="7"/>
  <c r="P287" i="7" s="1"/>
  <c r="L287" i="7"/>
  <c r="K287" i="7"/>
  <c r="J287" i="7"/>
  <c r="F287" i="7"/>
  <c r="E287" i="7"/>
  <c r="D287" i="7"/>
  <c r="O286" i="7"/>
  <c r="L285" i="7"/>
  <c r="K285" i="7"/>
  <c r="J285" i="7"/>
  <c r="F285" i="7"/>
  <c r="E285" i="7"/>
  <c r="D285" i="7"/>
  <c r="C285" i="7" s="1"/>
  <c r="O283" i="7"/>
  <c r="P283" i="7" s="1"/>
  <c r="L283" i="7"/>
  <c r="K283" i="7"/>
  <c r="J283" i="7"/>
  <c r="I283" i="7" s="1"/>
  <c r="H283" i="7"/>
  <c r="F283" i="7"/>
  <c r="E283" i="7"/>
  <c r="D283" i="7"/>
  <c r="C283" i="7" s="1"/>
  <c r="P282" i="7"/>
  <c r="O281" i="7"/>
  <c r="P281" i="7" s="1"/>
  <c r="L281" i="7"/>
  <c r="K281" i="7"/>
  <c r="J281" i="7"/>
  <c r="F281" i="7"/>
  <c r="E281" i="7"/>
  <c r="D281" i="7"/>
  <c r="C281" i="7" s="1"/>
  <c r="O280" i="7"/>
  <c r="R144" i="13" s="1"/>
  <c r="L279" i="7"/>
  <c r="H279" i="7" s="1"/>
  <c r="K279" i="7"/>
  <c r="J279" i="7"/>
  <c r="F279" i="7"/>
  <c r="E279" i="7"/>
  <c r="D279" i="7"/>
  <c r="O277" i="7"/>
  <c r="P277" i="7" s="1"/>
  <c r="L277" i="7"/>
  <c r="K277" i="7"/>
  <c r="J277" i="7"/>
  <c r="F277" i="7"/>
  <c r="E277" i="7"/>
  <c r="D277" i="7"/>
  <c r="C277" i="7" s="1"/>
  <c r="P276" i="7"/>
  <c r="O275" i="7"/>
  <c r="P275" i="7" s="1"/>
  <c r="L275" i="7"/>
  <c r="K275" i="7"/>
  <c r="J275" i="7"/>
  <c r="F275" i="7"/>
  <c r="E275" i="7"/>
  <c r="D275" i="7"/>
  <c r="C275" i="7" s="1"/>
  <c r="P274" i="7"/>
  <c r="O274" i="7"/>
  <c r="L273" i="7"/>
  <c r="K273" i="7"/>
  <c r="J273" i="7"/>
  <c r="F273" i="7"/>
  <c r="E273" i="7"/>
  <c r="D273" i="7"/>
  <c r="C273" i="7" s="1"/>
  <c r="P272" i="7"/>
  <c r="O271" i="7"/>
  <c r="P271" i="7" s="1"/>
  <c r="C271" i="7"/>
  <c r="L271" i="7"/>
  <c r="H271" i="7" s="1"/>
  <c r="K271" i="7"/>
  <c r="J271" i="7"/>
  <c r="F271" i="7"/>
  <c r="E271" i="7"/>
  <c r="D271" i="7"/>
  <c r="P270" i="7"/>
  <c r="O269" i="7"/>
  <c r="P269" i="7" s="1"/>
  <c r="L269" i="7"/>
  <c r="K269" i="7"/>
  <c r="J269" i="7"/>
  <c r="F269" i="7"/>
  <c r="E269" i="7"/>
  <c r="D269" i="7"/>
  <c r="P268" i="7"/>
  <c r="O267" i="7"/>
  <c r="P267" i="7" s="1"/>
  <c r="L267" i="7"/>
  <c r="K267" i="7"/>
  <c r="J267" i="7"/>
  <c r="F267" i="7"/>
  <c r="E267" i="7"/>
  <c r="D267" i="7"/>
  <c r="C267" i="7" s="1"/>
  <c r="O266" i="7"/>
  <c r="R137" i="13" s="1"/>
  <c r="L265" i="7"/>
  <c r="K265" i="7"/>
  <c r="J265" i="7"/>
  <c r="F265" i="7"/>
  <c r="E265" i="7"/>
  <c r="D265" i="7"/>
  <c r="P264" i="7"/>
  <c r="O263" i="7"/>
  <c r="P263" i="7" s="1"/>
  <c r="L263" i="7"/>
  <c r="K263" i="7"/>
  <c r="J263" i="7"/>
  <c r="F263" i="7"/>
  <c r="G263" i="7" s="1"/>
  <c r="E263" i="7"/>
  <c r="D263" i="7"/>
  <c r="C263" i="7" s="1"/>
  <c r="P262" i="7"/>
  <c r="O261" i="7"/>
  <c r="P261" i="7" s="1"/>
  <c r="L261" i="7"/>
  <c r="K261" i="7"/>
  <c r="J261" i="7"/>
  <c r="F261" i="7"/>
  <c r="H261" i="7" s="1"/>
  <c r="E261" i="7"/>
  <c r="D261" i="7"/>
  <c r="C261" i="7" s="1"/>
  <c r="O259" i="7"/>
  <c r="P259" i="7" s="1"/>
  <c r="L259" i="7"/>
  <c r="K259" i="7"/>
  <c r="J259" i="7"/>
  <c r="F259" i="7"/>
  <c r="E259" i="7"/>
  <c r="D259" i="7"/>
  <c r="P258" i="7"/>
  <c r="P255" i="7"/>
  <c r="P254" i="7"/>
  <c r="O253" i="7"/>
  <c r="P253" i="7" s="1"/>
  <c r="P252" i="7"/>
  <c r="O251" i="7"/>
  <c r="P251" i="7" s="1"/>
  <c r="C251" i="7"/>
  <c r="L251" i="7"/>
  <c r="K251" i="7"/>
  <c r="J251" i="7"/>
  <c r="F251" i="7"/>
  <c r="E251" i="7"/>
  <c r="D251" i="7"/>
  <c r="P250" i="7"/>
  <c r="O249" i="7"/>
  <c r="P249" i="7" s="1"/>
  <c r="L249" i="7"/>
  <c r="K249" i="7"/>
  <c r="J249" i="7"/>
  <c r="I249" i="7" s="1"/>
  <c r="F249" i="7"/>
  <c r="E249" i="7"/>
  <c r="D249" i="7"/>
  <c r="P248" i="7"/>
  <c r="O247" i="7"/>
  <c r="P247" i="7" s="1"/>
  <c r="L247" i="7"/>
  <c r="K247" i="7"/>
  <c r="J247" i="7"/>
  <c r="I247" i="7" s="1"/>
  <c r="H247" i="7"/>
  <c r="F247" i="7"/>
  <c r="G247" i="7" s="1"/>
  <c r="E247" i="7"/>
  <c r="D247" i="7"/>
  <c r="C247" i="7" s="1"/>
  <c r="O246" i="7"/>
  <c r="O245" i="7" s="1"/>
  <c r="P245" i="7" s="1"/>
  <c r="L245" i="7"/>
  <c r="K245" i="7"/>
  <c r="J245" i="7"/>
  <c r="F245" i="7"/>
  <c r="E245" i="7"/>
  <c r="D245" i="7"/>
  <c r="P244" i="7"/>
  <c r="O243" i="7"/>
  <c r="P243" i="7" s="1"/>
  <c r="L243" i="7"/>
  <c r="K243" i="7"/>
  <c r="J243" i="7"/>
  <c r="F243" i="7"/>
  <c r="E243" i="7"/>
  <c r="D243" i="7"/>
  <c r="P242" i="7"/>
  <c r="O241" i="7"/>
  <c r="P241" i="7" s="1"/>
  <c r="L241" i="7"/>
  <c r="K241" i="7"/>
  <c r="J241" i="7"/>
  <c r="I241" i="7" s="1"/>
  <c r="F241" i="7"/>
  <c r="G241" i="7" s="1"/>
  <c r="E241" i="7"/>
  <c r="D241" i="7"/>
  <c r="O239" i="7"/>
  <c r="P239" i="7" s="1"/>
  <c r="L239" i="7"/>
  <c r="K239" i="7"/>
  <c r="J239" i="7"/>
  <c r="I239" i="7" s="1"/>
  <c r="H239" i="7"/>
  <c r="F239" i="7"/>
  <c r="G239" i="7" s="1"/>
  <c r="E239" i="7"/>
  <c r="D239" i="7"/>
  <c r="C239" i="7" s="1"/>
  <c r="O237" i="7"/>
  <c r="P237" i="7" s="1"/>
  <c r="L237" i="7"/>
  <c r="K237" i="7"/>
  <c r="J237" i="7"/>
  <c r="F237" i="7"/>
  <c r="E237" i="7"/>
  <c r="C237" i="7" s="1"/>
  <c r="D237" i="7"/>
  <c r="O236" i="7"/>
  <c r="L235" i="7"/>
  <c r="K235" i="7"/>
  <c r="J235" i="7"/>
  <c r="H235" i="7"/>
  <c r="F235" i="7"/>
  <c r="E235" i="7"/>
  <c r="D235" i="7"/>
  <c r="O233" i="7"/>
  <c r="P233" i="7" s="1"/>
  <c r="O234" i="7"/>
  <c r="L233" i="7"/>
  <c r="K233" i="7"/>
  <c r="J233" i="7"/>
  <c r="I233" i="7" s="1"/>
  <c r="F233" i="7"/>
  <c r="E233" i="7"/>
  <c r="D233" i="7"/>
  <c r="P232" i="7"/>
  <c r="O231" i="7"/>
  <c r="P231" i="7" s="1"/>
  <c r="L231" i="7"/>
  <c r="K231" i="7"/>
  <c r="J231" i="7"/>
  <c r="I231" i="7" s="1"/>
  <c r="F231" i="7"/>
  <c r="G231" i="7" s="1"/>
  <c r="E231" i="7"/>
  <c r="D231" i="7"/>
  <c r="C231" i="7" s="1"/>
  <c r="O230" i="7"/>
  <c r="O229" i="7" s="1"/>
  <c r="P229" i="7" s="1"/>
  <c r="L229" i="7"/>
  <c r="H229" i="7" s="1"/>
  <c r="K229" i="7"/>
  <c r="J229" i="7"/>
  <c r="F229" i="7"/>
  <c r="E229" i="7"/>
  <c r="D229" i="7"/>
  <c r="O227" i="7"/>
  <c r="P227" i="7" s="1"/>
  <c r="C227" i="7"/>
  <c r="L227" i="7"/>
  <c r="K227" i="7"/>
  <c r="J227" i="7"/>
  <c r="G227" i="7"/>
  <c r="F227" i="7"/>
  <c r="E227" i="7"/>
  <c r="D227" i="7"/>
  <c r="P226" i="7"/>
  <c r="O225" i="7"/>
  <c r="P225" i="7" s="1"/>
  <c r="L225" i="7"/>
  <c r="K225" i="7"/>
  <c r="J225" i="7"/>
  <c r="F225" i="7"/>
  <c r="E225" i="7"/>
  <c r="D225" i="7"/>
  <c r="C225" i="7" s="1"/>
  <c r="O223" i="7"/>
  <c r="P223" i="7" s="1"/>
  <c r="L223" i="7"/>
  <c r="H223" i="7" s="1"/>
  <c r="K223" i="7"/>
  <c r="J223" i="7"/>
  <c r="F223" i="7"/>
  <c r="E223" i="7"/>
  <c r="D223" i="7"/>
  <c r="C223" i="7" s="1"/>
  <c r="O222" i="7"/>
  <c r="P222" i="7" s="1"/>
  <c r="L221" i="7"/>
  <c r="H221" i="7" s="1"/>
  <c r="K221" i="7"/>
  <c r="J221" i="7"/>
  <c r="F221" i="7"/>
  <c r="E221" i="7"/>
  <c r="D221" i="7"/>
  <c r="O219" i="7"/>
  <c r="P219" i="7" s="1"/>
  <c r="L219" i="7"/>
  <c r="G219" i="7" s="1"/>
  <c r="K219" i="7"/>
  <c r="J219" i="7"/>
  <c r="I219" i="7" s="1"/>
  <c r="F219" i="7"/>
  <c r="E219" i="7"/>
  <c r="D219" i="7"/>
  <c r="C219" i="7" s="1"/>
  <c r="P218" i="7"/>
  <c r="O217" i="7"/>
  <c r="P217" i="7" s="1"/>
  <c r="L217" i="7"/>
  <c r="H217" i="7" s="1"/>
  <c r="K217" i="7"/>
  <c r="J217" i="7"/>
  <c r="F217" i="7"/>
  <c r="E217" i="7"/>
  <c r="D217" i="7"/>
  <c r="P216" i="7"/>
  <c r="O215" i="7"/>
  <c r="P215" i="7" s="1"/>
  <c r="L215" i="7"/>
  <c r="K215" i="7"/>
  <c r="J215" i="7"/>
  <c r="F215" i="7"/>
  <c r="E215" i="7"/>
  <c r="D215" i="7"/>
  <c r="C215" i="7" s="1"/>
  <c r="P214" i="7"/>
  <c r="O214" i="7"/>
  <c r="R19" i="16" s="1"/>
  <c r="K49" i="16" s="1"/>
  <c r="L213" i="7"/>
  <c r="G213" i="7" s="1"/>
  <c r="K213" i="7"/>
  <c r="J213" i="7"/>
  <c r="F213" i="7"/>
  <c r="E213" i="7"/>
  <c r="D213" i="7"/>
  <c r="P212" i="7"/>
  <c r="O211" i="7"/>
  <c r="P211" i="7" s="1"/>
  <c r="L211" i="7"/>
  <c r="K211" i="7"/>
  <c r="J211" i="7"/>
  <c r="F211" i="7"/>
  <c r="E211" i="7"/>
  <c r="D211" i="7"/>
  <c r="O209" i="7"/>
  <c r="P209" i="7" s="1"/>
  <c r="L209" i="7"/>
  <c r="H209" i="7" s="1"/>
  <c r="K209" i="7"/>
  <c r="J209" i="7"/>
  <c r="F209" i="7"/>
  <c r="E209" i="7"/>
  <c r="D209" i="7"/>
  <c r="C209" i="7" s="1"/>
  <c r="P208" i="7"/>
  <c r="O207" i="7"/>
  <c r="P207" i="7" s="1"/>
  <c r="L207" i="7"/>
  <c r="H207" i="7" s="1"/>
  <c r="K207" i="7"/>
  <c r="J207" i="7"/>
  <c r="F207" i="7"/>
  <c r="E207" i="7"/>
  <c r="D207" i="7"/>
  <c r="C207" i="7" s="1"/>
  <c r="P206" i="7"/>
  <c r="O205" i="7"/>
  <c r="P205" i="7" s="1"/>
  <c r="L205" i="7"/>
  <c r="K205" i="7"/>
  <c r="J205" i="7"/>
  <c r="F205" i="7"/>
  <c r="E205" i="7"/>
  <c r="D205" i="7"/>
  <c r="C205" i="7" s="1"/>
  <c r="O204" i="7"/>
  <c r="O35" i="11" s="1"/>
  <c r="L203" i="7"/>
  <c r="K203" i="7"/>
  <c r="J203" i="7"/>
  <c r="F203" i="7"/>
  <c r="E203" i="7"/>
  <c r="D203" i="7"/>
  <c r="P202" i="7"/>
  <c r="O201" i="7"/>
  <c r="P201" i="7" s="1"/>
  <c r="L201" i="7"/>
  <c r="K201" i="7"/>
  <c r="J201" i="7"/>
  <c r="F201" i="7"/>
  <c r="E201" i="7"/>
  <c r="D201" i="7"/>
  <c r="P200" i="7"/>
  <c r="O199" i="7"/>
  <c r="P199" i="7" s="1"/>
  <c r="L199" i="7"/>
  <c r="K199" i="7"/>
  <c r="J199" i="7"/>
  <c r="F199" i="7"/>
  <c r="E199" i="7"/>
  <c r="D199" i="7"/>
  <c r="P198" i="7"/>
  <c r="O197" i="7"/>
  <c r="P197" i="7" s="1"/>
  <c r="L197" i="7"/>
  <c r="K197" i="7"/>
  <c r="J197" i="7"/>
  <c r="F197" i="7"/>
  <c r="E197" i="7"/>
  <c r="D197" i="7"/>
  <c r="P196" i="7"/>
  <c r="O195" i="7"/>
  <c r="P195" i="7" s="1"/>
  <c r="L195" i="7"/>
  <c r="K195" i="7"/>
  <c r="J195" i="7"/>
  <c r="F195" i="7"/>
  <c r="E195" i="7"/>
  <c r="D195" i="7"/>
  <c r="P194" i="7"/>
  <c r="O193" i="7"/>
  <c r="P193" i="7" s="1"/>
  <c r="L193" i="7"/>
  <c r="K193" i="7"/>
  <c r="J193" i="7"/>
  <c r="I193" i="7" s="1"/>
  <c r="F193" i="7"/>
  <c r="E193" i="7"/>
  <c r="C193" i="7" s="1"/>
  <c r="D193" i="7"/>
  <c r="P192" i="7"/>
  <c r="O191" i="7"/>
  <c r="P191" i="7" s="1"/>
  <c r="L191" i="7"/>
  <c r="K191" i="7"/>
  <c r="J191" i="7"/>
  <c r="F191" i="7"/>
  <c r="E191" i="7"/>
  <c r="D191" i="7"/>
  <c r="O189" i="7"/>
  <c r="P189" i="7" s="1"/>
  <c r="O190" i="7"/>
  <c r="L189" i="7"/>
  <c r="K189" i="7"/>
  <c r="J189" i="7"/>
  <c r="I189" i="7" s="1"/>
  <c r="H189" i="7"/>
  <c r="F189" i="7"/>
  <c r="E189" i="7"/>
  <c r="D189" i="7"/>
  <c r="C189" i="7" s="1"/>
  <c r="O188" i="7"/>
  <c r="O33" i="11" s="1"/>
  <c r="L187" i="7"/>
  <c r="K187" i="7"/>
  <c r="J187" i="7"/>
  <c r="F187" i="7"/>
  <c r="E187" i="7"/>
  <c r="D187" i="7"/>
  <c r="C187" i="7" s="1"/>
  <c r="O186" i="7"/>
  <c r="O32" i="11" s="1"/>
  <c r="L185" i="7"/>
  <c r="K185" i="7"/>
  <c r="J185" i="7"/>
  <c r="I185" i="7" s="1"/>
  <c r="F185" i="7"/>
  <c r="H185" i="7" s="1"/>
  <c r="E185" i="7"/>
  <c r="D185" i="7"/>
  <c r="O183" i="7"/>
  <c r="P183" i="7" s="1"/>
  <c r="L183" i="7"/>
  <c r="G183" i="7" s="1"/>
  <c r="K183" i="7"/>
  <c r="J183" i="7"/>
  <c r="I183" i="7" s="1"/>
  <c r="F183" i="7"/>
  <c r="E183" i="7"/>
  <c r="C183" i="7" s="1"/>
  <c r="D183" i="7"/>
  <c r="O181" i="7"/>
  <c r="P181" i="7" s="1"/>
  <c r="L181" i="7"/>
  <c r="H181" i="7" s="1"/>
  <c r="K181" i="7"/>
  <c r="J181" i="7"/>
  <c r="F181" i="7"/>
  <c r="E181" i="7"/>
  <c r="D181" i="7"/>
  <c r="C181" i="7" s="1"/>
  <c r="P180" i="7"/>
  <c r="O180" i="7"/>
  <c r="L179" i="7"/>
  <c r="K179" i="7"/>
  <c r="J179" i="7"/>
  <c r="F179" i="7"/>
  <c r="E179" i="7"/>
  <c r="D179" i="7"/>
  <c r="C179" i="7" s="1"/>
  <c r="P178" i="7"/>
  <c r="O177" i="7"/>
  <c r="P177" i="7" s="1"/>
  <c r="L177" i="7"/>
  <c r="K177" i="7"/>
  <c r="J177" i="7"/>
  <c r="F177" i="7"/>
  <c r="E177" i="7"/>
  <c r="D177" i="7"/>
  <c r="C177" i="7" s="1"/>
  <c r="O176" i="7"/>
  <c r="O175" i="7" s="1"/>
  <c r="P175" i="7" s="1"/>
  <c r="L175" i="7"/>
  <c r="K175" i="7"/>
  <c r="J175" i="7"/>
  <c r="I175" i="7" s="1"/>
  <c r="F175" i="7"/>
  <c r="E175" i="7"/>
  <c r="C175" i="7" s="1"/>
  <c r="D175" i="7"/>
  <c r="O174" i="7"/>
  <c r="C173" i="7"/>
  <c r="L173" i="7"/>
  <c r="H173" i="7" s="1"/>
  <c r="K173" i="7"/>
  <c r="J173" i="7"/>
  <c r="I173" i="7" s="1"/>
  <c r="F173" i="7"/>
  <c r="E173" i="7"/>
  <c r="D173" i="7"/>
  <c r="O172" i="7"/>
  <c r="O171" i="7" s="1"/>
  <c r="P171" i="7" s="1"/>
  <c r="L171" i="7"/>
  <c r="K171" i="7"/>
  <c r="J171" i="7"/>
  <c r="F171" i="7"/>
  <c r="E171" i="7"/>
  <c r="D171" i="7"/>
  <c r="O169" i="7"/>
  <c r="P169" i="7" s="1"/>
  <c r="L169" i="7"/>
  <c r="H169" i="7" s="1"/>
  <c r="K169" i="7"/>
  <c r="J169" i="7"/>
  <c r="F169" i="7"/>
  <c r="E169" i="7"/>
  <c r="D169" i="7"/>
  <c r="C169" i="7" s="1"/>
  <c r="O167" i="7"/>
  <c r="P167" i="7" s="1"/>
  <c r="L167" i="7"/>
  <c r="H167" i="7" s="1"/>
  <c r="K167" i="7"/>
  <c r="J167" i="7"/>
  <c r="F167" i="7"/>
  <c r="E167" i="7"/>
  <c r="D167" i="7"/>
  <c r="P166" i="7"/>
  <c r="O166" i="7"/>
  <c r="R87" i="13" s="1"/>
  <c r="L165" i="7"/>
  <c r="K165" i="7"/>
  <c r="J165" i="7"/>
  <c r="F165" i="7"/>
  <c r="E165" i="7"/>
  <c r="D165" i="7"/>
  <c r="P164" i="7"/>
  <c r="O164" i="7"/>
  <c r="L163" i="7"/>
  <c r="H163" i="7" s="1"/>
  <c r="K163" i="7"/>
  <c r="J163" i="7"/>
  <c r="F163" i="7"/>
  <c r="E163" i="7"/>
  <c r="D163" i="7"/>
  <c r="P162" i="7"/>
  <c r="O161" i="7"/>
  <c r="P161" i="7" s="1"/>
  <c r="L161" i="7"/>
  <c r="H161" i="7" s="1"/>
  <c r="K161" i="7"/>
  <c r="G161" i="7" s="1"/>
  <c r="J161" i="7"/>
  <c r="F161" i="7"/>
  <c r="E161" i="7"/>
  <c r="D161" i="7"/>
  <c r="O160" i="7"/>
  <c r="L159" i="7"/>
  <c r="H159" i="7" s="1"/>
  <c r="K159" i="7"/>
  <c r="J159" i="7"/>
  <c r="F159" i="7"/>
  <c r="E159" i="7"/>
  <c r="D159" i="7"/>
  <c r="O157" i="7"/>
  <c r="P157" i="7" s="1"/>
  <c r="L157" i="7"/>
  <c r="K157" i="7"/>
  <c r="J157" i="7"/>
  <c r="I157" i="7" s="1"/>
  <c r="H157" i="7"/>
  <c r="F157" i="7"/>
  <c r="E157" i="7"/>
  <c r="D157" i="7"/>
  <c r="P156" i="7"/>
  <c r="O155" i="7"/>
  <c r="P155" i="7" s="1"/>
  <c r="C155" i="7"/>
  <c r="L155" i="7"/>
  <c r="H155" i="7" s="1"/>
  <c r="K155" i="7"/>
  <c r="J155" i="7"/>
  <c r="F155" i="7"/>
  <c r="E155" i="7"/>
  <c r="D155" i="7"/>
  <c r="P154" i="7"/>
  <c r="O153" i="7"/>
  <c r="P153" i="7" s="1"/>
  <c r="L153" i="7"/>
  <c r="H153" i="7" s="1"/>
  <c r="K153" i="7"/>
  <c r="J153" i="7"/>
  <c r="F153" i="7"/>
  <c r="E153" i="7"/>
  <c r="D153" i="7"/>
  <c r="O152" i="7"/>
  <c r="O151" i="7" s="1"/>
  <c r="P151" i="7" s="1"/>
  <c r="L151" i="7"/>
  <c r="H151" i="7" s="1"/>
  <c r="K151" i="7"/>
  <c r="J151" i="7"/>
  <c r="F151" i="7"/>
  <c r="E151" i="7"/>
  <c r="D151" i="7"/>
  <c r="C151" i="7" s="1"/>
  <c r="O149" i="7"/>
  <c r="P149" i="7" s="1"/>
  <c r="L149" i="7"/>
  <c r="K149" i="7"/>
  <c r="J149" i="7"/>
  <c r="I149" i="7" s="1"/>
  <c r="F149" i="7"/>
  <c r="E149" i="7"/>
  <c r="D149" i="7"/>
  <c r="P148" i="7"/>
  <c r="O147" i="7"/>
  <c r="P147" i="7" s="1"/>
  <c r="L147" i="7"/>
  <c r="K147" i="7"/>
  <c r="J147" i="7"/>
  <c r="I147" i="7" s="1"/>
  <c r="F147" i="7"/>
  <c r="E147" i="7"/>
  <c r="C147" i="7" s="1"/>
  <c r="D147" i="7"/>
  <c r="O145" i="7"/>
  <c r="P145" i="7" s="1"/>
  <c r="L145" i="7"/>
  <c r="G145" i="7" s="1"/>
  <c r="K145" i="7"/>
  <c r="J145" i="7"/>
  <c r="F145" i="7"/>
  <c r="E145" i="7"/>
  <c r="D145" i="7"/>
  <c r="P144" i="7"/>
  <c r="O143" i="7"/>
  <c r="P143" i="7" s="1"/>
  <c r="L143" i="7"/>
  <c r="G143" i="7" s="1"/>
  <c r="K143" i="7"/>
  <c r="J143" i="7"/>
  <c r="I143" i="7" s="1"/>
  <c r="F143" i="7"/>
  <c r="E143" i="7"/>
  <c r="D143" i="7"/>
  <c r="O141" i="7"/>
  <c r="P141" i="7" s="1"/>
  <c r="L141" i="7"/>
  <c r="G141" i="7" s="1"/>
  <c r="K141" i="7"/>
  <c r="J141" i="7"/>
  <c r="F141" i="7"/>
  <c r="E141" i="7"/>
  <c r="D141" i="7"/>
  <c r="P140" i="7"/>
  <c r="O139" i="7"/>
  <c r="P139" i="7" s="1"/>
  <c r="L139" i="7"/>
  <c r="G139" i="7" s="1"/>
  <c r="K139" i="7"/>
  <c r="J139" i="7"/>
  <c r="F139" i="7"/>
  <c r="E139" i="7"/>
  <c r="D139" i="7"/>
  <c r="O137" i="7"/>
  <c r="P137" i="7" s="1"/>
  <c r="L137" i="7"/>
  <c r="H137" i="7" s="1"/>
  <c r="K137" i="7"/>
  <c r="J137" i="7"/>
  <c r="F137" i="7"/>
  <c r="E137" i="7"/>
  <c r="D137" i="7"/>
  <c r="C137" i="7" s="1"/>
  <c r="P136" i="7"/>
  <c r="O135" i="7"/>
  <c r="P135" i="7" s="1"/>
  <c r="L135" i="7"/>
  <c r="K135" i="7"/>
  <c r="J135" i="7"/>
  <c r="F135" i="7"/>
  <c r="E135" i="7"/>
  <c r="D135" i="7"/>
  <c r="O133" i="7"/>
  <c r="P133" i="7" s="1"/>
  <c r="L133" i="7"/>
  <c r="G133" i="7" s="1"/>
  <c r="K133" i="7"/>
  <c r="J133" i="7"/>
  <c r="F133" i="7"/>
  <c r="E133" i="7"/>
  <c r="D133" i="7"/>
  <c r="C133" i="7" s="1"/>
  <c r="P132" i="7"/>
  <c r="O131" i="7"/>
  <c r="P131" i="7" s="1"/>
  <c r="C131" i="7"/>
  <c r="L131" i="7"/>
  <c r="K131" i="7"/>
  <c r="J131" i="7"/>
  <c r="F131" i="7"/>
  <c r="E131" i="7"/>
  <c r="D131" i="7"/>
  <c r="P130" i="7"/>
  <c r="O129" i="7"/>
  <c r="P129" i="7" s="1"/>
  <c r="O130" i="7"/>
  <c r="R69" i="13" s="1"/>
  <c r="L129" i="7"/>
  <c r="K129" i="7"/>
  <c r="J129" i="7"/>
  <c r="F129" i="7"/>
  <c r="H129" i="7" s="1"/>
  <c r="E129" i="7"/>
  <c r="D129" i="7"/>
  <c r="C129" i="7" s="1"/>
  <c r="P128" i="7"/>
  <c r="O127" i="7"/>
  <c r="P127" i="7" s="1"/>
  <c r="L127" i="7"/>
  <c r="K127" i="7"/>
  <c r="J127" i="7"/>
  <c r="F127" i="7"/>
  <c r="E127" i="7"/>
  <c r="D127" i="7"/>
  <c r="C127" i="7" s="1"/>
  <c r="O125" i="7"/>
  <c r="P125" i="7" s="1"/>
  <c r="O126" i="7"/>
  <c r="P126" i="7" s="1"/>
  <c r="L125" i="7"/>
  <c r="K125" i="7"/>
  <c r="J125" i="7"/>
  <c r="H125" i="7"/>
  <c r="F125" i="7"/>
  <c r="E125" i="7"/>
  <c r="D125" i="7"/>
  <c r="P124" i="7"/>
  <c r="O123" i="7"/>
  <c r="P123" i="7" s="1"/>
  <c r="L123" i="7"/>
  <c r="K123" i="7"/>
  <c r="J123" i="7"/>
  <c r="F123" i="7"/>
  <c r="G123" i="7" s="1"/>
  <c r="E123" i="7"/>
  <c r="C123" i="7" s="1"/>
  <c r="D123" i="7"/>
  <c r="O121" i="7"/>
  <c r="P121" i="7" s="1"/>
  <c r="L121" i="7"/>
  <c r="H121" i="7" s="1"/>
  <c r="K121" i="7"/>
  <c r="J121" i="7"/>
  <c r="F121" i="7"/>
  <c r="E121" i="7"/>
  <c r="D121" i="7"/>
  <c r="P120" i="7"/>
  <c r="O119" i="7"/>
  <c r="P119" i="7" s="1"/>
  <c r="C119" i="7"/>
  <c r="L119" i="7"/>
  <c r="K119" i="7"/>
  <c r="J119" i="7"/>
  <c r="F119" i="7"/>
  <c r="H119" i="7" s="1"/>
  <c r="E119" i="7"/>
  <c r="D119" i="7"/>
  <c r="O117" i="7"/>
  <c r="P117" i="7" s="1"/>
  <c r="L117" i="7"/>
  <c r="K117" i="7"/>
  <c r="J117" i="7"/>
  <c r="F117" i="7"/>
  <c r="E117" i="7"/>
  <c r="D117" i="7"/>
  <c r="P116" i="7"/>
  <c r="O115" i="7"/>
  <c r="P115" i="7" s="1"/>
  <c r="L115" i="7"/>
  <c r="K115" i="7"/>
  <c r="J115" i="7"/>
  <c r="H115" i="7"/>
  <c r="F115" i="7"/>
  <c r="E115" i="7"/>
  <c r="D115" i="7"/>
  <c r="C115" i="7" s="1"/>
  <c r="P114" i="7"/>
  <c r="O113" i="7"/>
  <c r="P113" i="7" s="1"/>
  <c r="L113" i="7"/>
  <c r="H113" i="7" s="1"/>
  <c r="K113" i="7"/>
  <c r="J113" i="7"/>
  <c r="I113" i="7" s="1"/>
  <c r="F113" i="7"/>
  <c r="E113" i="7"/>
  <c r="D113" i="7"/>
  <c r="C113" i="7" s="1"/>
  <c r="P112" i="7"/>
  <c r="O111" i="7"/>
  <c r="P111" i="7" s="1"/>
  <c r="L111" i="7"/>
  <c r="K111" i="7"/>
  <c r="J111" i="7"/>
  <c r="F111" i="7"/>
  <c r="E111" i="7"/>
  <c r="D111" i="7"/>
  <c r="C111" i="7" s="1"/>
  <c r="O109" i="7"/>
  <c r="P109" i="7" s="1"/>
  <c r="L109" i="7"/>
  <c r="K109" i="7"/>
  <c r="J109" i="7"/>
  <c r="F109" i="7"/>
  <c r="E109" i="7"/>
  <c r="D109" i="7"/>
  <c r="P108" i="7"/>
  <c r="O107" i="7"/>
  <c r="P107" i="7" s="1"/>
  <c r="L107" i="7"/>
  <c r="H107" i="7" s="1"/>
  <c r="K107" i="7"/>
  <c r="J107" i="7"/>
  <c r="G107" i="7"/>
  <c r="F107" i="7"/>
  <c r="E107" i="7"/>
  <c r="D107" i="7"/>
  <c r="P106" i="7"/>
  <c r="O105" i="7"/>
  <c r="P105" i="7" s="1"/>
  <c r="L105" i="7"/>
  <c r="G105" i="7" s="1"/>
  <c r="K105" i="7"/>
  <c r="J105" i="7"/>
  <c r="I105" i="7" s="1"/>
  <c r="F105" i="7"/>
  <c r="E105" i="7"/>
  <c r="D105" i="7"/>
  <c r="C105" i="7" s="1"/>
  <c r="P104" i="7"/>
  <c r="O103" i="7"/>
  <c r="P103" i="7" s="1"/>
  <c r="L103" i="7"/>
  <c r="K103" i="7"/>
  <c r="J103" i="7"/>
  <c r="F103" i="7"/>
  <c r="E103" i="7"/>
  <c r="C103" i="7" s="1"/>
  <c r="D103" i="7"/>
  <c r="O101" i="7"/>
  <c r="P101" i="7" s="1"/>
  <c r="L101" i="7"/>
  <c r="G101" i="7" s="1"/>
  <c r="K101" i="7"/>
  <c r="J101" i="7"/>
  <c r="F101" i="7"/>
  <c r="E101" i="7"/>
  <c r="D101" i="7"/>
  <c r="C101" i="7" s="1"/>
  <c r="P100" i="7"/>
  <c r="O99" i="7"/>
  <c r="P99" i="7" s="1"/>
  <c r="L99" i="7"/>
  <c r="K99" i="7"/>
  <c r="J99" i="7"/>
  <c r="I99" i="7" s="1"/>
  <c r="F99" i="7"/>
  <c r="E99" i="7"/>
  <c r="D99" i="7"/>
  <c r="C99" i="7" s="1"/>
  <c r="O98" i="7"/>
  <c r="O22" i="11" s="1"/>
  <c r="L97" i="7"/>
  <c r="K97" i="7"/>
  <c r="J97" i="7"/>
  <c r="F97" i="7"/>
  <c r="E97" i="7"/>
  <c r="D97" i="7"/>
  <c r="O96" i="7"/>
  <c r="L95" i="7"/>
  <c r="H95" i="7" s="1"/>
  <c r="K95" i="7"/>
  <c r="J95" i="7"/>
  <c r="F95" i="7"/>
  <c r="E95" i="7"/>
  <c r="C95" i="7" s="1"/>
  <c r="D95" i="7"/>
  <c r="P94" i="7"/>
  <c r="O93" i="7"/>
  <c r="P93" i="7" s="1"/>
  <c r="O94" i="7"/>
  <c r="L93" i="7"/>
  <c r="K93" i="7"/>
  <c r="J93" i="7"/>
  <c r="F93" i="7"/>
  <c r="E93" i="7"/>
  <c r="D93" i="7"/>
  <c r="C93" i="7" s="1"/>
  <c r="P92" i="7"/>
  <c r="O92" i="7"/>
  <c r="O91" i="7" s="1"/>
  <c r="P91" i="7" s="1"/>
  <c r="L91" i="7"/>
  <c r="K91" i="7"/>
  <c r="J91" i="7"/>
  <c r="H91" i="7"/>
  <c r="F91" i="7"/>
  <c r="E91" i="7"/>
  <c r="D91" i="7"/>
  <c r="C91" i="7" s="1"/>
  <c r="O89" i="7"/>
  <c r="P89" i="7" s="1"/>
  <c r="L89" i="7"/>
  <c r="K89" i="7"/>
  <c r="J89" i="7"/>
  <c r="F89" i="7"/>
  <c r="E89" i="7"/>
  <c r="D89" i="7"/>
  <c r="O87" i="7"/>
  <c r="P87" i="7" s="1"/>
  <c r="O88" i="7"/>
  <c r="L87" i="7"/>
  <c r="K87" i="7"/>
  <c r="J87" i="7"/>
  <c r="F87" i="7"/>
  <c r="H87" i="7" s="1"/>
  <c r="E87" i="7"/>
  <c r="D87" i="7"/>
  <c r="C87" i="7" s="1"/>
  <c r="O85" i="7"/>
  <c r="P85" i="7" s="1"/>
  <c r="L85" i="7"/>
  <c r="K85" i="7"/>
  <c r="J85" i="7"/>
  <c r="F85" i="7"/>
  <c r="G85" i="7" s="1"/>
  <c r="E85" i="7"/>
  <c r="D85" i="7"/>
  <c r="C85" i="7" s="1"/>
  <c r="P84" i="7"/>
  <c r="O83" i="7"/>
  <c r="P83" i="7" s="1"/>
  <c r="L83" i="7"/>
  <c r="K83" i="7"/>
  <c r="J83" i="7"/>
  <c r="F83" i="7"/>
  <c r="E83" i="7"/>
  <c r="D83" i="7"/>
  <c r="O82" i="7"/>
  <c r="L81" i="7"/>
  <c r="K81" i="7"/>
  <c r="J81" i="7"/>
  <c r="I81" i="7" s="1"/>
  <c r="G81" i="7"/>
  <c r="F81" i="7"/>
  <c r="E81" i="7"/>
  <c r="D81" i="7"/>
  <c r="C81" i="7" s="1"/>
  <c r="O80" i="7"/>
  <c r="L79" i="7"/>
  <c r="K79" i="7"/>
  <c r="J79" i="7"/>
  <c r="F79" i="7"/>
  <c r="H79" i="7" s="1"/>
  <c r="E79" i="7"/>
  <c r="D79" i="7"/>
  <c r="C79" i="7" s="1"/>
  <c r="O78" i="7"/>
  <c r="R43" i="13" s="1"/>
  <c r="L77" i="7"/>
  <c r="K77" i="7"/>
  <c r="J77" i="7"/>
  <c r="H77" i="7"/>
  <c r="G77" i="7"/>
  <c r="F77" i="7"/>
  <c r="E77" i="7"/>
  <c r="D77" i="7"/>
  <c r="C77" i="7" s="1"/>
  <c r="O75" i="7"/>
  <c r="P75" i="7" s="1"/>
  <c r="L75" i="7"/>
  <c r="H75" i="7" s="1"/>
  <c r="K75" i="7"/>
  <c r="J75" i="7"/>
  <c r="I75" i="7" s="1"/>
  <c r="G75" i="7"/>
  <c r="F75" i="7"/>
  <c r="E75" i="7"/>
  <c r="D75" i="7"/>
  <c r="C75" i="7" s="1"/>
  <c r="O74" i="7"/>
  <c r="L73" i="7"/>
  <c r="K73" i="7"/>
  <c r="J73" i="7"/>
  <c r="F73" i="7"/>
  <c r="E73" i="7"/>
  <c r="D73" i="7"/>
  <c r="C73" i="7" s="1"/>
  <c r="P72" i="7"/>
  <c r="O71" i="7"/>
  <c r="P71" i="7" s="1"/>
  <c r="L71" i="7"/>
  <c r="K71" i="7"/>
  <c r="J71" i="7"/>
  <c r="F71" i="7"/>
  <c r="E71" i="7"/>
  <c r="D71" i="7"/>
  <c r="O69" i="7"/>
  <c r="P69" i="7" s="1"/>
  <c r="L69" i="7"/>
  <c r="K69" i="7"/>
  <c r="J69" i="7"/>
  <c r="F69" i="7"/>
  <c r="E69" i="7"/>
  <c r="C69" i="7" s="1"/>
  <c r="D69" i="7"/>
  <c r="P68" i="7"/>
  <c r="O67" i="7"/>
  <c r="P67" i="7" s="1"/>
  <c r="O68" i="7"/>
  <c r="L67" i="7"/>
  <c r="K67" i="7"/>
  <c r="J67" i="7"/>
  <c r="H67" i="7"/>
  <c r="F67" i="7"/>
  <c r="E67" i="7"/>
  <c r="D67" i="7"/>
  <c r="O65" i="7"/>
  <c r="P65" i="7" s="1"/>
  <c r="L65" i="7"/>
  <c r="K65" i="7"/>
  <c r="J65" i="7"/>
  <c r="I65" i="7" s="1"/>
  <c r="F65" i="7"/>
  <c r="H65" i="7" s="1"/>
  <c r="E65" i="7"/>
  <c r="D65" i="7"/>
  <c r="C65" i="7" s="1"/>
  <c r="O64" i="7"/>
  <c r="O63" i="7" s="1"/>
  <c r="P63" i="7" s="1"/>
  <c r="L63" i="7"/>
  <c r="K63" i="7"/>
  <c r="J63" i="7"/>
  <c r="F63" i="7"/>
  <c r="E63" i="7"/>
  <c r="D63" i="7"/>
  <c r="C63" i="7" s="1"/>
  <c r="P62" i="7"/>
  <c r="O61" i="7"/>
  <c r="P61" i="7" s="1"/>
  <c r="L61" i="7"/>
  <c r="K61" i="7"/>
  <c r="J61" i="7"/>
  <c r="F61" i="7"/>
  <c r="G61" i="7" s="1"/>
  <c r="E61" i="7"/>
  <c r="D61" i="7"/>
  <c r="C61" i="7" s="1"/>
  <c r="P60" i="7"/>
  <c r="O59" i="7"/>
  <c r="P59" i="7" s="1"/>
  <c r="L59" i="7"/>
  <c r="G59" i="7" s="1"/>
  <c r="K59" i="7"/>
  <c r="J59" i="7"/>
  <c r="I59" i="7" s="1"/>
  <c r="H59" i="7"/>
  <c r="F59" i="7"/>
  <c r="E59" i="7"/>
  <c r="D59" i="7"/>
  <c r="P58" i="7"/>
  <c r="O57" i="7"/>
  <c r="P57" i="7" s="1"/>
  <c r="C57" i="7"/>
  <c r="L57" i="7"/>
  <c r="G57" i="7" s="1"/>
  <c r="K57" i="7"/>
  <c r="J57" i="7"/>
  <c r="F57" i="7"/>
  <c r="E57" i="7"/>
  <c r="D57" i="7"/>
  <c r="P56" i="7"/>
  <c r="O55" i="7"/>
  <c r="P55" i="7" s="1"/>
  <c r="L55" i="7"/>
  <c r="K55" i="7"/>
  <c r="J55" i="7"/>
  <c r="F55" i="7"/>
  <c r="E55" i="7"/>
  <c r="D55" i="7"/>
  <c r="C55" i="7" s="1"/>
  <c r="P54" i="7"/>
  <c r="O53" i="7"/>
  <c r="P53" i="7" s="1"/>
  <c r="L53" i="7"/>
  <c r="H53" i="7" s="1"/>
  <c r="K53" i="7"/>
  <c r="J53" i="7"/>
  <c r="F53" i="7"/>
  <c r="E53" i="7"/>
  <c r="D53" i="7"/>
  <c r="C53" i="7" s="1"/>
  <c r="P52" i="7"/>
  <c r="O51" i="7"/>
  <c r="P51" i="7" s="1"/>
  <c r="L51" i="7"/>
  <c r="K51" i="7"/>
  <c r="J51" i="7"/>
  <c r="F51" i="7"/>
  <c r="E51" i="7"/>
  <c r="D51" i="7"/>
  <c r="C51" i="7" s="1"/>
  <c r="P50" i="7"/>
  <c r="O49" i="7"/>
  <c r="P49" i="7" s="1"/>
  <c r="L49" i="7"/>
  <c r="K49" i="7"/>
  <c r="J49" i="7"/>
  <c r="F49" i="7"/>
  <c r="E49" i="7"/>
  <c r="D49" i="7"/>
  <c r="C49" i="7" s="1"/>
  <c r="P48" i="7"/>
  <c r="O47" i="7"/>
  <c r="P47" i="7" s="1"/>
  <c r="L47" i="7"/>
  <c r="G47" i="7" s="1"/>
  <c r="K47" i="7"/>
  <c r="J47" i="7"/>
  <c r="H47" i="7"/>
  <c r="F47" i="7"/>
  <c r="E47" i="7"/>
  <c r="D47" i="7"/>
  <c r="C47" i="7" s="1"/>
  <c r="P46" i="7"/>
  <c r="O45" i="7"/>
  <c r="P45" i="7" s="1"/>
  <c r="L45" i="7"/>
  <c r="G45" i="7" s="1"/>
  <c r="K45" i="7"/>
  <c r="J45" i="7"/>
  <c r="F45" i="7"/>
  <c r="E45" i="7"/>
  <c r="C45" i="7" s="1"/>
  <c r="D45" i="7"/>
  <c r="P44" i="7"/>
  <c r="O43" i="7"/>
  <c r="P43" i="7" s="1"/>
  <c r="L43" i="7"/>
  <c r="K43" i="7"/>
  <c r="J43" i="7"/>
  <c r="F43" i="7"/>
  <c r="G43" i="7" s="1"/>
  <c r="E43" i="7"/>
  <c r="D43" i="7"/>
  <c r="C43" i="7" s="1"/>
  <c r="P42" i="7"/>
  <c r="O41" i="7"/>
  <c r="P41" i="7" s="1"/>
  <c r="L41" i="7"/>
  <c r="K41" i="7"/>
  <c r="J41" i="7"/>
  <c r="F41" i="7"/>
  <c r="E41" i="7"/>
  <c r="D41" i="7"/>
  <c r="C41" i="7" s="1"/>
  <c r="P40" i="7"/>
  <c r="O39" i="7"/>
  <c r="P39" i="7" s="1"/>
  <c r="L39" i="7"/>
  <c r="K39" i="7"/>
  <c r="J39" i="7"/>
  <c r="F39" i="7"/>
  <c r="E39" i="7"/>
  <c r="D39" i="7"/>
  <c r="C39" i="7" s="1"/>
  <c r="P38" i="7"/>
  <c r="O37" i="7"/>
  <c r="P37" i="7" s="1"/>
  <c r="L37" i="7"/>
  <c r="K37" i="7"/>
  <c r="J37" i="7"/>
  <c r="I37" i="7" s="1"/>
  <c r="F37" i="7"/>
  <c r="E37" i="7"/>
  <c r="D37" i="7"/>
  <c r="C37" i="7" s="1"/>
  <c r="O36" i="7"/>
  <c r="L35" i="7"/>
  <c r="K35" i="7"/>
  <c r="J35" i="7"/>
  <c r="H35" i="7"/>
  <c r="G35" i="7"/>
  <c r="F35" i="7"/>
  <c r="E35" i="7"/>
  <c r="D35" i="7"/>
  <c r="C35" i="7" s="1"/>
  <c r="O34" i="7"/>
  <c r="O33" i="7" s="1"/>
  <c r="P33" i="7" s="1"/>
  <c r="L33" i="7"/>
  <c r="H33" i="7" s="1"/>
  <c r="K33" i="7"/>
  <c r="J33" i="7"/>
  <c r="F33" i="7"/>
  <c r="E33" i="7"/>
  <c r="C33" i="7" s="1"/>
  <c r="D33" i="7"/>
  <c r="O32" i="7"/>
  <c r="P32" i="7" s="1"/>
  <c r="L31" i="7"/>
  <c r="H31" i="7" s="1"/>
  <c r="K31" i="7"/>
  <c r="J31" i="7"/>
  <c r="F31" i="7"/>
  <c r="E31" i="7"/>
  <c r="C31" i="7" s="1"/>
  <c r="D31" i="7"/>
  <c r="O30" i="7"/>
  <c r="P30" i="7" s="1"/>
  <c r="L29" i="7"/>
  <c r="K29" i="7"/>
  <c r="J29" i="7"/>
  <c r="F29" i="7"/>
  <c r="E29" i="7"/>
  <c r="D29" i="7"/>
  <c r="C29" i="7" s="1"/>
  <c r="O28" i="7"/>
  <c r="O27" i="7" s="1"/>
  <c r="P27" i="7" s="1"/>
  <c r="L27" i="7"/>
  <c r="K27" i="7"/>
  <c r="J27" i="7"/>
  <c r="I27" i="7" s="1"/>
  <c r="F27" i="7"/>
  <c r="E27" i="7"/>
  <c r="D27" i="7"/>
  <c r="O25" i="7"/>
  <c r="P25" i="7" s="1"/>
  <c r="L25" i="7"/>
  <c r="H25" i="7" s="1"/>
  <c r="K25" i="7"/>
  <c r="J25" i="7"/>
  <c r="I25" i="7" s="1"/>
  <c r="F25" i="7"/>
  <c r="E25" i="7"/>
  <c r="D25" i="7"/>
  <c r="C25" i="7" s="1"/>
  <c r="O23" i="7"/>
  <c r="P23" i="7" s="1"/>
  <c r="L23" i="7"/>
  <c r="G23" i="7" s="1"/>
  <c r="K23" i="7"/>
  <c r="J23" i="7"/>
  <c r="F23" i="7"/>
  <c r="E23" i="7"/>
  <c r="D23" i="7"/>
  <c r="C23" i="7" s="1"/>
  <c r="P22" i="7"/>
  <c r="O21" i="7"/>
  <c r="P21" i="7" s="1"/>
  <c r="L21" i="7"/>
  <c r="H21" i="7" s="1"/>
  <c r="K21" i="7"/>
  <c r="J21" i="7"/>
  <c r="F21" i="7"/>
  <c r="E21" i="7"/>
  <c r="D21" i="7"/>
  <c r="C21" i="7" s="1"/>
  <c r="O20" i="7"/>
  <c r="R14" i="13" s="1"/>
  <c r="C19" i="7"/>
  <c r="L19" i="7"/>
  <c r="K19" i="7"/>
  <c r="J19" i="7"/>
  <c r="F19" i="7"/>
  <c r="E19" i="7"/>
  <c r="D19" i="7"/>
  <c r="P18" i="7"/>
  <c r="O17" i="7"/>
  <c r="P17" i="7" s="1"/>
  <c r="L17" i="7"/>
  <c r="K17" i="7"/>
  <c r="J17" i="7"/>
  <c r="F17" i="7"/>
  <c r="E17" i="7"/>
  <c r="D17" i="7"/>
  <c r="C17" i="7" s="1"/>
  <c r="P16" i="7"/>
  <c r="O15" i="7"/>
  <c r="P15" i="7" s="1"/>
  <c r="O16" i="7"/>
  <c r="L15" i="7"/>
  <c r="H15" i="7" s="1"/>
  <c r="K15" i="7"/>
  <c r="J15" i="7"/>
  <c r="I15" i="7" s="1"/>
  <c r="F15" i="7"/>
  <c r="E15" i="7"/>
  <c r="D15" i="7"/>
  <c r="O13" i="7"/>
  <c r="P13" i="7" s="1"/>
  <c r="L13" i="7"/>
  <c r="K13" i="7"/>
  <c r="J13" i="7"/>
  <c r="F13" i="7"/>
  <c r="H13" i="7" s="1"/>
  <c r="E13" i="7"/>
  <c r="D13" i="7"/>
  <c r="O11" i="7"/>
  <c r="P11" i="7" s="1"/>
  <c r="L11" i="7"/>
  <c r="H11" i="7" s="1"/>
  <c r="K11" i="7"/>
  <c r="J11" i="7"/>
  <c r="I11" i="7" s="1"/>
  <c r="F11" i="7"/>
  <c r="E11" i="7"/>
  <c r="D11" i="7"/>
  <c r="C11" i="7" s="1"/>
  <c r="O9" i="7"/>
  <c r="P9" i="7" s="1"/>
  <c r="L9" i="7"/>
  <c r="K9" i="7"/>
  <c r="J9" i="7"/>
  <c r="C396" i="7"/>
  <c r="I396" i="7"/>
  <c r="C49" i="21"/>
  <c r="C8" i="21"/>
  <c r="C58" i="18"/>
  <c r="C8" i="18"/>
  <c r="C30" i="16"/>
  <c r="C8" i="16"/>
  <c r="C39" i="15"/>
  <c r="C8" i="15"/>
  <c r="D203" i="13"/>
  <c r="D202" i="13"/>
  <c r="J202" i="13"/>
  <c r="D201" i="13"/>
  <c r="J201" i="13"/>
  <c r="D200" i="13"/>
  <c r="J200" i="13"/>
  <c r="D199" i="13"/>
  <c r="J199" i="13"/>
  <c r="D198" i="13"/>
  <c r="J198" i="13"/>
  <c r="D197" i="13"/>
  <c r="J197" i="13"/>
  <c r="D196" i="13"/>
  <c r="J196" i="13"/>
  <c r="D195" i="13"/>
  <c r="J195" i="13"/>
  <c r="D194" i="13"/>
  <c r="J194" i="13"/>
  <c r="D193" i="13"/>
  <c r="J193" i="13"/>
  <c r="D192" i="13"/>
  <c r="J192" i="13"/>
  <c r="D191" i="13"/>
  <c r="J191" i="13"/>
  <c r="D190" i="13"/>
  <c r="J190" i="13"/>
  <c r="D189" i="13"/>
  <c r="J189" i="13"/>
  <c r="D188" i="13"/>
  <c r="J188" i="13"/>
  <c r="D187" i="13"/>
  <c r="J187" i="13"/>
  <c r="D186" i="13"/>
  <c r="J186" i="13"/>
  <c r="D185" i="13"/>
  <c r="J185" i="13"/>
  <c r="D184" i="13"/>
  <c r="J184" i="13"/>
  <c r="D183" i="13"/>
  <c r="J183" i="13"/>
  <c r="D182" i="13"/>
  <c r="J182" i="13"/>
  <c r="D181" i="13"/>
  <c r="J181" i="13"/>
  <c r="D180" i="13"/>
  <c r="J180" i="13"/>
  <c r="D179" i="13"/>
  <c r="J179" i="13"/>
  <c r="D178" i="13"/>
  <c r="J178" i="13"/>
  <c r="D177" i="13"/>
  <c r="J177" i="13"/>
  <c r="D176" i="13"/>
  <c r="J176" i="13"/>
  <c r="D175" i="13"/>
  <c r="J175" i="13"/>
  <c r="D174" i="13"/>
  <c r="J174" i="13"/>
  <c r="D173" i="13"/>
  <c r="J173" i="13"/>
  <c r="D172" i="13"/>
  <c r="J172" i="13"/>
  <c r="D171" i="13"/>
  <c r="J171" i="13"/>
  <c r="D170" i="13"/>
  <c r="J170" i="13"/>
  <c r="D169" i="13"/>
  <c r="J169" i="13"/>
  <c r="D168" i="13"/>
  <c r="J168" i="13"/>
  <c r="D167" i="13"/>
  <c r="J167" i="13"/>
  <c r="D166" i="13"/>
  <c r="J166" i="13"/>
  <c r="D165" i="13"/>
  <c r="J165" i="13"/>
  <c r="D164" i="13"/>
  <c r="J164" i="13"/>
  <c r="D163" i="13"/>
  <c r="J163" i="13"/>
  <c r="D162" i="13"/>
  <c r="J162" i="13"/>
  <c r="D161" i="13"/>
  <c r="J161" i="13"/>
  <c r="D160" i="13"/>
  <c r="J160" i="13"/>
  <c r="D159" i="13"/>
  <c r="J159" i="13"/>
  <c r="D158" i="13"/>
  <c r="J158" i="13"/>
  <c r="D157" i="13"/>
  <c r="J157" i="13"/>
  <c r="D156" i="13"/>
  <c r="J156" i="13"/>
  <c r="D155" i="13"/>
  <c r="J155" i="13"/>
  <c r="D154" i="13"/>
  <c r="J154" i="13"/>
  <c r="D153" i="13"/>
  <c r="J153" i="13"/>
  <c r="D152" i="13"/>
  <c r="J152" i="13"/>
  <c r="D151" i="13"/>
  <c r="J151" i="13"/>
  <c r="D150" i="13"/>
  <c r="J150" i="13"/>
  <c r="D149" i="13"/>
  <c r="J149" i="13"/>
  <c r="D148" i="13"/>
  <c r="J148" i="13"/>
  <c r="D147" i="13"/>
  <c r="J147" i="13"/>
  <c r="D146" i="13"/>
  <c r="J146" i="13"/>
  <c r="D145" i="13"/>
  <c r="J145" i="13"/>
  <c r="D144" i="13"/>
  <c r="J144" i="13"/>
  <c r="D143" i="13"/>
  <c r="J143" i="13"/>
  <c r="D142" i="13"/>
  <c r="J142" i="13"/>
  <c r="D141" i="13"/>
  <c r="J141" i="13"/>
  <c r="D140" i="13"/>
  <c r="J140" i="13"/>
  <c r="D139" i="13"/>
  <c r="J139" i="13"/>
  <c r="D138" i="13"/>
  <c r="J138" i="13"/>
  <c r="D137" i="13"/>
  <c r="J137" i="13"/>
  <c r="D136" i="13"/>
  <c r="J136" i="13"/>
  <c r="D135" i="13"/>
  <c r="J135" i="13"/>
  <c r="D134" i="13"/>
  <c r="J134" i="13"/>
  <c r="D133" i="13"/>
  <c r="J133" i="13"/>
  <c r="D131" i="13"/>
  <c r="J131" i="13"/>
  <c r="D130" i="13"/>
  <c r="J130" i="13"/>
  <c r="D129" i="13"/>
  <c r="J129" i="13"/>
  <c r="D128" i="13"/>
  <c r="J128" i="13"/>
  <c r="D127" i="13"/>
  <c r="J127" i="13"/>
  <c r="D126" i="13"/>
  <c r="J126" i="13"/>
  <c r="D125" i="13"/>
  <c r="J125" i="13"/>
  <c r="D124" i="13"/>
  <c r="J124" i="13"/>
  <c r="D123" i="13"/>
  <c r="J123" i="13"/>
  <c r="D122" i="13"/>
  <c r="J122" i="13"/>
  <c r="D121" i="13"/>
  <c r="J121" i="13"/>
  <c r="D120" i="13"/>
  <c r="J120" i="13"/>
  <c r="D119" i="13"/>
  <c r="J119" i="13"/>
  <c r="D118" i="13"/>
  <c r="J118" i="13"/>
  <c r="D117" i="13"/>
  <c r="J117" i="13"/>
  <c r="D116" i="13"/>
  <c r="J116" i="13"/>
  <c r="D115" i="13"/>
  <c r="J115" i="13"/>
  <c r="D114" i="13"/>
  <c r="J114" i="13"/>
  <c r="D113" i="13"/>
  <c r="J113" i="13"/>
  <c r="D112" i="13"/>
  <c r="J112" i="13"/>
  <c r="D111" i="13"/>
  <c r="J111" i="13"/>
  <c r="D110" i="13"/>
  <c r="J110" i="13"/>
  <c r="D109" i="13"/>
  <c r="J109" i="13"/>
  <c r="D108" i="13"/>
  <c r="J108" i="13"/>
  <c r="D107" i="13"/>
  <c r="J107" i="13"/>
  <c r="D106" i="13"/>
  <c r="J106" i="13"/>
  <c r="D105" i="13"/>
  <c r="J105" i="13"/>
  <c r="D104" i="13"/>
  <c r="J104" i="13"/>
  <c r="D103" i="13"/>
  <c r="J103" i="13"/>
  <c r="D102" i="13"/>
  <c r="J102" i="13"/>
  <c r="D101" i="13"/>
  <c r="J101" i="13"/>
  <c r="D100" i="13"/>
  <c r="J100" i="13"/>
  <c r="D99" i="13"/>
  <c r="J99" i="13"/>
  <c r="D98" i="13"/>
  <c r="J98" i="13"/>
  <c r="D97" i="13"/>
  <c r="J97" i="13"/>
  <c r="D96" i="13"/>
  <c r="J96" i="13"/>
  <c r="D95" i="13"/>
  <c r="J95" i="13"/>
  <c r="D94" i="13"/>
  <c r="J94" i="13"/>
  <c r="D93" i="13"/>
  <c r="J93" i="13"/>
  <c r="D92" i="13"/>
  <c r="J92" i="13"/>
  <c r="D91" i="13"/>
  <c r="J91" i="13"/>
  <c r="D90" i="13"/>
  <c r="J90" i="13"/>
  <c r="D89" i="13"/>
  <c r="J89" i="13"/>
  <c r="D88" i="13"/>
  <c r="J88" i="13"/>
  <c r="D87" i="13"/>
  <c r="J87" i="13"/>
  <c r="D86" i="13"/>
  <c r="J86" i="13"/>
  <c r="D85" i="13"/>
  <c r="J85" i="13"/>
  <c r="D84" i="13"/>
  <c r="J84" i="13"/>
  <c r="D83" i="13"/>
  <c r="J83" i="13"/>
  <c r="D82" i="13"/>
  <c r="J82" i="13"/>
  <c r="D81" i="13"/>
  <c r="J81" i="13"/>
  <c r="D80" i="13"/>
  <c r="J80" i="13"/>
  <c r="D79" i="13"/>
  <c r="J79" i="13"/>
  <c r="D78" i="13"/>
  <c r="J78" i="13"/>
  <c r="D77" i="13"/>
  <c r="J77" i="13"/>
  <c r="D76" i="13"/>
  <c r="J76" i="13"/>
  <c r="D75" i="13"/>
  <c r="J75" i="13"/>
  <c r="D74" i="13"/>
  <c r="J74" i="13"/>
  <c r="D73" i="13"/>
  <c r="J73" i="13"/>
  <c r="D72" i="13"/>
  <c r="J72" i="13"/>
  <c r="D71" i="13"/>
  <c r="J71" i="13"/>
  <c r="D70" i="13"/>
  <c r="J70" i="13"/>
  <c r="D69" i="13"/>
  <c r="J69" i="13"/>
  <c r="D68" i="13"/>
  <c r="J68" i="13"/>
  <c r="D67" i="13"/>
  <c r="J67" i="13"/>
  <c r="D66" i="13"/>
  <c r="J66" i="13"/>
  <c r="D65" i="13"/>
  <c r="J65" i="13"/>
  <c r="D64" i="13"/>
  <c r="J64" i="13"/>
  <c r="D63" i="13"/>
  <c r="J63" i="13"/>
  <c r="D62" i="13"/>
  <c r="J62" i="13"/>
  <c r="D61" i="13"/>
  <c r="J61" i="13"/>
  <c r="D60" i="13"/>
  <c r="J60" i="13"/>
  <c r="D59" i="13"/>
  <c r="J59" i="13"/>
  <c r="D58" i="13"/>
  <c r="J58" i="13"/>
  <c r="D57" i="13"/>
  <c r="J57" i="13"/>
  <c r="D56" i="13"/>
  <c r="J56" i="13"/>
  <c r="D55" i="13"/>
  <c r="J55" i="13"/>
  <c r="D54" i="13"/>
  <c r="J54" i="13"/>
  <c r="D53" i="13"/>
  <c r="J53" i="13"/>
  <c r="D52" i="13"/>
  <c r="J52" i="13"/>
  <c r="D51" i="13"/>
  <c r="J51" i="13"/>
  <c r="D50" i="13"/>
  <c r="J50" i="13"/>
  <c r="D49" i="13"/>
  <c r="J49" i="13"/>
  <c r="D48" i="13"/>
  <c r="J48" i="13"/>
  <c r="D47" i="13"/>
  <c r="J47" i="13"/>
  <c r="D46" i="13"/>
  <c r="J46" i="13"/>
  <c r="D45" i="13"/>
  <c r="J45" i="13"/>
  <c r="D44" i="13"/>
  <c r="J44" i="13"/>
  <c r="D43" i="13"/>
  <c r="J43" i="13"/>
  <c r="D42" i="13"/>
  <c r="J42" i="13"/>
  <c r="D41" i="13"/>
  <c r="J41" i="13"/>
  <c r="D40" i="13"/>
  <c r="J40" i="13"/>
  <c r="D39" i="13"/>
  <c r="J39" i="13"/>
  <c r="D38" i="13"/>
  <c r="J38" i="13"/>
  <c r="D37" i="13"/>
  <c r="J37" i="13"/>
  <c r="D36" i="13"/>
  <c r="J36" i="13"/>
  <c r="D35" i="13"/>
  <c r="J35" i="13"/>
  <c r="D34" i="13"/>
  <c r="J34" i="13"/>
  <c r="D33" i="13"/>
  <c r="J33" i="13"/>
  <c r="D32" i="13"/>
  <c r="J32" i="13"/>
  <c r="D31" i="13"/>
  <c r="J31" i="13"/>
  <c r="D30" i="13"/>
  <c r="J30" i="13"/>
  <c r="D29" i="13"/>
  <c r="J29" i="13"/>
  <c r="D28" i="13"/>
  <c r="J28" i="13"/>
  <c r="D27" i="13"/>
  <c r="J27" i="13"/>
  <c r="D26" i="13"/>
  <c r="J26" i="13"/>
  <c r="D25" i="13"/>
  <c r="J25" i="13"/>
  <c r="D24" i="13"/>
  <c r="J24" i="13"/>
  <c r="D23" i="13"/>
  <c r="J23" i="13"/>
  <c r="D22" i="13"/>
  <c r="J22" i="13"/>
  <c r="D21" i="13"/>
  <c r="J21" i="13"/>
  <c r="D20" i="13"/>
  <c r="J20" i="13"/>
  <c r="D19" i="13"/>
  <c r="J19" i="13"/>
  <c r="D18" i="13"/>
  <c r="J18" i="13"/>
  <c r="D17" i="13"/>
  <c r="J17" i="13"/>
  <c r="D16" i="13"/>
  <c r="J16" i="13"/>
  <c r="D15" i="13"/>
  <c r="J15" i="13"/>
  <c r="D14" i="13"/>
  <c r="J14" i="13"/>
  <c r="D13" i="13"/>
  <c r="J13" i="13"/>
  <c r="D12" i="13"/>
  <c r="J12" i="13"/>
  <c r="D11" i="13"/>
  <c r="J11" i="13"/>
  <c r="D10" i="13"/>
  <c r="J10" i="13"/>
  <c r="D9" i="13"/>
  <c r="J9" i="13"/>
  <c r="D8" i="13"/>
  <c r="C62" i="11"/>
  <c r="C8" i="11"/>
  <c r="C398" i="7"/>
  <c r="C394" i="7"/>
  <c r="I394" i="7"/>
  <c r="C392" i="7"/>
  <c r="I392" i="7"/>
  <c r="C390" i="7"/>
  <c r="I390" i="7"/>
  <c r="C388" i="7"/>
  <c r="I388" i="7"/>
  <c r="C386" i="7"/>
  <c r="I386" i="7"/>
  <c r="C384" i="7"/>
  <c r="I384" i="7"/>
  <c r="C382" i="7"/>
  <c r="I382" i="7"/>
  <c r="C380" i="7"/>
  <c r="I380" i="7"/>
  <c r="C378" i="7"/>
  <c r="I378" i="7"/>
  <c r="C376" i="7"/>
  <c r="I376" i="7"/>
  <c r="C374" i="7"/>
  <c r="I374" i="7"/>
  <c r="C372" i="7"/>
  <c r="I372" i="7"/>
  <c r="C370" i="7"/>
  <c r="I370" i="7"/>
  <c r="C368" i="7"/>
  <c r="I368" i="7"/>
  <c r="C366" i="7"/>
  <c r="I366" i="7"/>
  <c r="C364" i="7"/>
  <c r="I364" i="7"/>
  <c r="C362" i="7"/>
  <c r="I362" i="7"/>
  <c r="C360" i="7"/>
  <c r="I360" i="7"/>
  <c r="C358" i="7"/>
  <c r="I358" i="7"/>
  <c r="C356" i="7"/>
  <c r="I356" i="7"/>
  <c r="C354" i="7"/>
  <c r="I354" i="7"/>
  <c r="C352" i="7"/>
  <c r="I352" i="7"/>
  <c r="C350" i="7"/>
  <c r="I350" i="7"/>
  <c r="C348" i="7"/>
  <c r="I348" i="7"/>
  <c r="C346" i="7"/>
  <c r="I346" i="7"/>
  <c r="C344" i="7"/>
  <c r="I344" i="7"/>
  <c r="C342" i="7"/>
  <c r="I342" i="7"/>
  <c r="C340" i="7"/>
  <c r="I340" i="7"/>
  <c r="C338" i="7"/>
  <c r="I338" i="7"/>
  <c r="C336" i="7"/>
  <c r="I336" i="7"/>
  <c r="C334" i="7"/>
  <c r="I334" i="7"/>
  <c r="C332" i="7"/>
  <c r="I332" i="7"/>
  <c r="C330" i="7"/>
  <c r="I330" i="7"/>
  <c r="C328" i="7"/>
  <c r="I328" i="7"/>
  <c r="C326" i="7"/>
  <c r="I326" i="7"/>
  <c r="C324" i="7"/>
  <c r="I324" i="7"/>
  <c r="C322" i="7"/>
  <c r="I322" i="7"/>
  <c r="C320" i="7"/>
  <c r="I320" i="7"/>
  <c r="C318" i="7"/>
  <c r="I318" i="7"/>
  <c r="C316" i="7"/>
  <c r="I316" i="7"/>
  <c r="C314" i="7"/>
  <c r="I314" i="7"/>
  <c r="C312" i="7"/>
  <c r="I312" i="7"/>
  <c r="C310" i="7"/>
  <c r="I310" i="7"/>
  <c r="C308" i="7"/>
  <c r="I308" i="7"/>
  <c r="C306" i="7"/>
  <c r="I306" i="7"/>
  <c r="C304" i="7"/>
  <c r="I304" i="7"/>
  <c r="C302" i="7"/>
  <c r="I302" i="7"/>
  <c r="C300" i="7"/>
  <c r="I300" i="7"/>
  <c r="C298" i="7"/>
  <c r="I298" i="7"/>
  <c r="C296" i="7"/>
  <c r="I296" i="7"/>
  <c r="C294" i="7"/>
  <c r="I294" i="7"/>
  <c r="C292" i="7"/>
  <c r="I292" i="7"/>
  <c r="C290" i="7"/>
  <c r="I290" i="7"/>
  <c r="C288" i="7"/>
  <c r="I288" i="7"/>
  <c r="C286" i="7"/>
  <c r="I286" i="7"/>
  <c r="C284" i="7"/>
  <c r="I284" i="7"/>
  <c r="C282" i="7"/>
  <c r="I282" i="7"/>
  <c r="C280" i="7"/>
  <c r="I280" i="7"/>
  <c r="C278" i="7"/>
  <c r="I278" i="7"/>
  <c r="C276" i="7"/>
  <c r="I276" i="7"/>
  <c r="C274" i="7"/>
  <c r="I274" i="7"/>
  <c r="C272" i="7"/>
  <c r="I272" i="7"/>
  <c r="C270" i="7"/>
  <c r="I270" i="7"/>
  <c r="C268" i="7"/>
  <c r="I268" i="7"/>
  <c r="C266" i="7"/>
  <c r="I266" i="7"/>
  <c r="C264" i="7"/>
  <c r="I264" i="7"/>
  <c r="C262" i="7"/>
  <c r="I262" i="7"/>
  <c r="C260" i="7"/>
  <c r="I260" i="7"/>
  <c r="C258" i="7"/>
  <c r="I258" i="7"/>
  <c r="C254" i="7"/>
  <c r="I254" i="7"/>
  <c r="C252" i="7"/>
  <c r="I252" i="7"/>
  <c r="C250" i="7"/>
  <c r="I250" i="7"/>
  <c r="C248" i="7"/>
  <c r="I248" i="7"/>
  <c r="C246" i="7"/>
  <c r="I246" i="7"/>
  <c r="C244" i="7"/>
  <c r="I244" i="7"/>
  <c r="C242" i="7"/>
  <c r="I242" i="7"/>
  <c r="C240" i="7"/>
  <c r="I240" i="7"/>
  <c r="C238" i="7"/>
  <c r="I238" i="7"/>
  <c r="C236" i="7"/>
  <c r="I236" i="7"/>
  <c r="C234" i="7"/>
  <c r="I234" i="7"/>
  <c r="C232" i="7"/>
  <c r="I232" i="7"/>
  <c r="C230" i="7"/>
  <c r="I230" i="7"/>
  <c r="C228" i="7"/>
  <c r="I228" i="7"/>
  <c r="C226" i="7"/>
  <c r="I226" i="7"/>
  <c r="C224" i="7"/>
  <c r="I224" i="7"/>
  <c r="C222" i="7"/>
  <c r="I222" i="7"/>
  <c r="C220" i="7"/>
  <c r="I220" i="7"/>
  <c r="C218" i="7"/>
  <c r="I218" i="7"/>
  <c r="C216" i="7"/>
  <c r="I216" i="7"/>
  <c r="C214" i="7"/>
  <c r="I214" i="7"/>
  <c r="C212" i="7"/>
  <c r="I212" i="7"/>
  <c r="C210" i="7"/>
  <c r="I210" i="7"/>
  <c r="C208" i="7"/>
  <c r="I208" i="7"/>
  <c r="C206" i="7"/>
  <c r="I206" i="7"/>
  <c r="C204" i="7"/>
  <c r="I204" i="7"/>
  <c r="C202" i="7"/>
  <c r="I202" i="7"/>
  <c r="C200" i="7"/>
  <c r="I200" i="7"/>
  <c r="C198" i="7"/>
  <c r="I198" i="7"/>
  <c r="C196" i="7"/>
  <c r="I196" i="7"/>
  <c r="C194" i="7"/>
  <c r="I194" i="7"/>
  <c r="C192" i="7"/>
  <c r="I192" i="7"/>
  <c r="C190" i="7"/>
  <c r="I190" i="7"/>
  <c r="C188" i="7"/>
  <c r="I188" i="7"/>
  <c r="C186" i="7"/>
  <c r="I186" i="7"/>
  <c r="C184" i="7"/>
  <c r="I184" i="7"/>
  <c r="C182" i="7"/>
  <c r="I182" i="7"/>
  <c r="C180" i="7"/>
  <c r="I180" i="7"/>
  <c r="C178" i="7"/>
  <c r="I178" i="7"/>
  <c r="C176" i="7"/>
  <c r="I176" i="7"/>
  <c r="C174" i="7"/>
  <c r="I174" i="7"/>
  <c r="C172" i="7"/>
  <c r="I172" i="7"/>
  <c r="C170" i="7"/>
  <c r="I170" i="7"/>
  <c r="C168" i="7"/>
  <c r="I168" i="7"/>
  <c r="C166" i="7"/>
  <c r="I166" i="7"/>
  <c r="C164" i="7"/>
  <c r="I164" i="7"/>
  <c r="C162" i="7"/>
  <c r="I162" i="7"/>
  <c r="C160" i="7"/>
  <c r="I160" i="7"/>
  <c r="C158" i="7"/>
  <c r="I158" i="7"/>
  <c r="C156" i="7"/>
  <c r="I156" i="7"/>
  <c r="C154" i="7"/>
  <c r="I154" i="7"/>
  <c r="C152" i="7"/>
  <c r="I152" i="7"/>
  <c r="C150" i="7"/>
  <c r="I150" i="7"/>
  <c r="C148" i="7"/>
  <c r="I148" i="7"/>
  <c r="C146" i="7"/>
  <c r="I146" i="7"/>
  <c r="C144" i="7"/>
  <c r="I144" i="7"/>
  <c r="C142" i="7"/>
  <c r="I142" i="7"/>
  <c r="C140" i="7"/>
  <c r="I140" i="7"/>
  <c r="C138" i="7"/>
  <c r="I138" i="7"/>
  <c r="C136" i="7"/>
  <c r="I136" i="7"/>
  <c r="C134" i="7"/>
  <c r="I134" i="7"/>
  <c r="C132" i="7"/>
  <c r="I132" i="7"/>
  <c r="C130" i="7"/>
  <c r="I130" i="7"/>
  <c r="C128" i="7"/>
  <c r="I128" i="7"/>
  <c r="C126" i="7"/>
  <c r="I126" i="7"/>
  <c r="C124" i="7"/>
  <c r="I124" i="7"/>
  <c r="C122" i="7"/>
  <c r="I122" i="7"/>
  <c r="C120" i="7"/>
  <c r="I120" i="7"/>
  <c r="C118" i="7"/>
  <c r="I118" i="7"/>
  <c r="C116" i="7"/>
  <c r="I116" i="7"/>
  <c r="C114" i="7"/>
  <c r="I114" i="7"/>
  <c r="C112" i="7"/>
  <c r="I112" i="7"/>
  <c r="C110" i="7"/>
  <c r="I110" i="7"/>
  <c r="C108" i="7"/>
  <c r="I108" i="7"/>
  <c r="C106" i="7"/>
  <c r="I106" i="7"/>
  <c r="C104" i="7"/>
  <c r="I104" i="7"/>
  <c r="C102" i="7"/>
  <c r="I102" i="7"/>
  <c r="C100" i="7"/>
  <c r="I100" i="7"/>
  <c r="C98" i="7"/>
  <c r="I98" i="7"/>
  <c r="C96" i="7"/>
  <c r="I96" i="7"/>
  <c r="C94" i="7"/>
  <c r="I94" i="7"/>
  <c r="C92" i="7"/>
  <c r="I92" i="7"/>
  <c r="C90" i="7"/>
  <c r="I90" i="7"/>
  <c r="C88" i="7"/>
  <c r="I88" i="7"/>
  <c r="C86" i="7"/>
  <c r="I86" i="7"/>
  <c r="C84" i="7"/>
  <c r="I84" i="7"/>
  <c r="C82" i="7"/>
  <c r="I82" i="7"/>
  <c r="C80" i="7"/>
  <c r="I80" i="7"/>
  <c r="C78" i="7"/>
  <c r="I78" i="7"/>
  <c r="C76" i="7"/>
  <c r="I76" i="7"/>
  <c r="C74" i="7"/>
  <c r="I74" i="7"/>
  <c r="C72" i="7"/>
  <c r="I72" i="7"/>
  <c r="C70" i="7"/>
  <c r="I70" i="7"/>
  <c r="C68" i="7"/>
  <c r="I68" i="7"/>
  <c r="C66" i="7"/>
  <c r="I66" i="7"/>
  <c r="C64" i="7"/>
  <c r="I64" i="7"/>
  <c r="C62" i="7"/>
  <c r="I62" i="7"/>
  <c r="C60" i="7"/>
  <c r="I60" i="7"/>
  <c r="C58" i="7"/>
  <c r="I58" i="7"/>
  <c r="C56" i="7"/>
  <c r="I56" i="7"/>
  <c r="C54" i="7"/>
  <c r="I54" i="7"/>
  <c r="C52" i="7"/>
  <c r="I52" i="7"/>
  <c r="C50" i="7"/>
  <c r="I50" i="7"/>
  <c r="C48" i="7"/>
  <c r="I48" i="7"/>
  <c r="C46" i="7"/>
  <c r="I46" i="7"/>
  <c r="C44" i="7"/>
  <c r="I44" i="7"/>
  <c r="C42" i="7"/>
  <c r="I42" i="7"/>
  <c r="C40" i="7"/>
  <c r="I40" i="7"/>
  <c r="C38" i="7"/>
  <c r="I38" i="7"/>
  <c r="C36" i="7"/>
  <c r="I36" i="7"/>
  <c r="C34" i="7"/>
  <c r="I34" i="7"/>
  <c r="C32" i="7"/>
  <c r="I32" i="7"/>
  <c r="C30" i="7"/>
  <c r="I30" i="7"/>
  <c r="C28" i="7"/>
  <c r="I28" i="7"/>
  <c r="C26" i="7"/>
  <c r="I26" i="7"/>
  <c r="C24" i="7"/>
  <c r="I24" i="7"/>
  <c r="C22" i="7"/>
  <c r="I22" i="7"/>
  <c r="C20" i="7"/>
  <c r="I20" i="7"/>
  <c r="C18" i="7"/>
  <c r="I18" i="7"/>
  <c r="C16" i="7"/>
  <c r="I16" i="7"/>
  <c r="C14" i="7"/>
  <c r="I14" i="7"/>
  <c r="C12" i="7"/>
  <c r="I12" i="7"/>
  <c r="C10" i="7"/>
  <c r="I10" i="7"/>
  <c r="C8" i="7"/>
  <c r="R201" i="13" l="1"/>
  <c r="O60" i="11"/>
  <c r="O265" i="7"/>
  <c r="P265" i="7" s="1"/>
  <c r="C217" i="7"/>
  <c r="G13" i="7"/>
  <c r="G15" i="7"/>
  <c r="O19" i="7"/>
  <c r="P19" i="7" s="1"/>
  <c r="P28" i="7"/>
  <c r="O29" i="7"/>
  <c r="P29" i="7" s="1"/>
  <c r="G91" i="7"/>
  <c r="I95" i="7"/>
  <c r="H111" i="7"/>
  <c r="G111" i="7"/>
  <c r="I117" i="7"/>
  <c r="I119" i="7"/>
  <c r="I123" i="7"/>
  <c r="C141" i="7"/>
  <c r="C149" i="7"/>
  <c r="P152" i="7"/>
  <c r="O27" i="11"/>
  <c r="O163" i="7"/>
  <c r="P163" i="7" s="1"/>
  <c r="C185" i="7"/>
  <c r="P186" i="7"/>
  <c r="I195" i="7"/>
  <c r="I197" i="7"/>
  <c r="C233" i="7"/>
  <c r="C243" i="7"/>
  <c r="C245" i="7"/>
  <c r="G261" i="7"/>
  <c r="C265" i="7"/>
  <c r="P266" i="7"/>
  <c r="O279" i="7"/>
  <c r="P279" i="7" s="1"/>
  <c r="H295" i="7"/>
  <c r="C335" i="7"/>
  <c r="O339" i="7"/>
  <c r="P339" i="7" s="1"/>
  <c r="G355" i="7"/>
  <c r="G375" i="7"/>
  <c r="H375" i="7"/>
  <c r="I383" i="7"/>
  <c r="I385" i="7"/>
  <c r="I389" i="7"/>
  <c r="H391" i="7"/>
  <c r="P394" i="7"/>
  <c r="R97" i="13"/>
  <c r="O185" i="7"/>
  <c r="P185" i="7" s="1"/>
  <c r="H191" i="7"/>
  <c r="H193" i="7"/>
  <c r="G221" i="7"/>
  <c r="P280" i="7"/>
  <c r="R152" i="13"/>
  <c r="P296" i="7"/>
  <c r="O295" i="7"/>
  <c r="P295" i="7" s="1"/>
  <c r="P340" i="7"/>
  <c r="H371" i="7"/>
  <c r="G371" i="7"/>
  <c r="R86" i="13"/>
  <c r="R91" i="13"/>
  <c r="P174" i="7"/>
  <c r="H63" i="7"/>
  <c r="H71" i="7"/>
  <c r="H73" i="7"/>
  <c r="H83" i="7"/>
  <c r="H89" i="7"/>
  <c r="H93" i="7"/>
  <c r="I13" i="7"/>
  <c r="I17" i="7"/>
  <c r="P34" i="7"/>
  <c r="I47" i="7"/>
  <c r="I49" i="7"/>
  <c r="G53" i="7"/>
  <c r="H69" i="7"/>
  <c r="H85" i="7"/>
  <c r="I127" i="7"/>
  <c r="I129" i="7"/>
  <c r="C157" i="7"/>
  <c r="C159" i="7"/>
  <c r="C165" i="7"/>
  <c r="C167" i="7"/>
  <c r="H175" i="7"/>
  <c r="I179" i="7"/>
  <c r="G181" i="7"/>
  <c r="O187" i="7"/>
  <c r="P187" i="7" s="1"/>
  <c r="O34" i="11"/>
  <c r="P190" i="7"/>
  <c r="R99" i="13"/>
  <c r="C249" i="7"/>
  <c r="I261" i="7"/>
  <c r="H263" i="7"/>
  <c r="C297" i="7"/>
  <c r="R155" i="13"/>
  <c r="R22" i="16"/>
  <c r="K52" i="16" s="1"/>
  <c r="H303" i="7"/>
  <c r="H307" i="7"/>
  <c r="I329" i="7"/>
  <c r="I331" i="7"/>
  <c r="G335" i="7"/>
  <c r="C341" i="7"/>
  <c r="P342" i="7"/>
  <c r="O343" i="7"/>
  <c r="P343" i="7" s="1"/>
  <c r="C367" i="7"/>
  <c r="O371" i="7"/>
  <c r="P371" i="7" s="1"/>
  <c r="O59" i="11"/>
  <c r="C377" i="7"/>
  <c r="C379" i="7"/>
  <c r="H387" i="7"/>
  <c r="G391" i="7"/>
  <c r="C395" i="7"/>
  <c r="O24" i="11"/>
  <c r="O52" i="11"/>
  <c r="C351" i="7"/>
  <c r="O393" i="7"/>
  <c r="P393" i="7" s="1"/>
  <c r="H213" i="7"/>
  <c r="R80" i="13"/>
  <c r="O25" i="11"/>
  <c r="H267" i="7"/>
  <c r="G267" i="7"/>
  <c r="G165" i="7"/>
  <c r="G187" i="7"/>
  <c r="G163" i="7"/>
  <c r="H357" i="7"/>
  <c r="G357" i="7"/>
  <c r="H49" i="7"/>
  <c r="G51" i="7"/>
  <c r="H127" i="7"/>
  <c r="H133" i="7"/>
  <c r="G157" i="7"/>
  <c r="I169" i="7"/>
  <c r="H177" i="7"/>
  <c r="H179" i="7"/>
  <c r="H187" i="7"/>
  <c r="O203" i="7"/>
  <c r="P203" i="7" s="1"/>
  <c r="G229" i="7"/>
  <c r="I271" i="7"/>
  <c r="I279" i="7"/>
  <c r="H285" i="7"/>
  <c r="C307" i="7"/>
  <c r="R162" i="13"/>
  <c r="O46" i="11"/>
  <c r="O323" i="7"/>
  <c r="P323" i="7" s="1"/>
  <c r="G327" i="7"/>
  <c r="G341" i="7"/>
  <c r="P346" i="7"/>
  <c r="O345" i="7"/>
  <c r="P345" i="7" s="1"/>
  <c r="R177" i="13"/>
  <c r="G353" i="7"/>
  <c r="H353" i="7"/>
  <c r="C361" i="7"/>
  <c r="C371" i="7"/>
  <c r="O54" i="11"/>
  <c r="G21" i="7"/>
  <c r="H43" i="7"/>
  <c r="C125" i="7"/>
  <c r="H45" i="7"/>
  <c r="H55" i="7"/>
  <c r="H141" i="7"/>
  <c r="H183" i="7"/>
  <c r="C13" i="7"/>
  <c r="I21" i="7"/>
  <c r="I23" i="7"/>
  <c r="H27" i="7"/>
  <c r="G27" i="7"/>
  <c r="I33" i="7"/>
  <c r="G67" i="7"/>
  <c r="H81" i="7"/>
  <c r="C83" i="7"/>
  <c r="C89" i="7"/>
  <c r="C97" i="7"/>
  <c r="H99" i="7"/>
  <c r="I103" i="7"/>
  <c r="G151" i="7"/>
  <c r="I163" i="7"/>
  <c r="I165" i="7"/>
  <c r="I167" i="7"/>
  <c r="G171" i="7"/>
  <c r="R18" i="16"/>
  <c r="K48" i="16" s="1"/>
  <c r="O179" i="7"/>
  <c r="P179" i="7" s="1"/>
  <c r="C195" i="7"/>
  <c r="C197" i="7"/>
  <c r="C199" i="7"/>
  <c r="C201" i="7"/>
  <c r="C203" i="7"/>
  <c r="P204" i="7"/>
  <c r="C213" i="7"/>
  <c r="C221" i="7"/>
  <c r="I273" i="7"/>
  <c r="I275" i="7"/>
  <c r="I281" i="7"/>
  <c r="C303" i="7"/>
  <c r="C305" i="7"/>
  <c r="C323" i="7"/>
  <c r="P324" i="7"/>
  <c r="O50" i="11"/>
  <c r="R169" i="13"/>
  <c r="P330" i="7"/>
  <c r="C347" i="7"/>
  <c r="C349" i="7"/>
  <c r="H363" i="7"/>
  <c r="I367" i="7"/>
  <c r="R94" i="13"/>
  <c r="H203" i="7"/>
  <c r="G211" i="7"/>
  <c r="H219" i="7"/>
  <c r="H231" i="7"/>
  <c r="H233" i="7"/>
  <c r="H243" i="7"/>
  <c r="H265" i="7"/>
  <c r="H297" i="7"/>
  <c r="G319" i="7"/>
  <c r="H359" i="7"/>
  <c r="H39" i="7"/>
  <c r="H41" i="7"/>
  <c r="G65" i="7"/>
  <c r="I91" i="7"/>
  <c r="I93" i="7"/>
  <c r="I97" i="7"/>
  <c r="H103" i="7"/>
  <c r="C117" i="7"/>
  <c r="G135" i="7"/>
  <c r="C153" i="7"/>
  <c r="C161" i="7"/>
  <c r="C171" i="7"/>
  <c r="G189" i="7"/>
  <c r="C191" i="7"/>
  <c r="H211" i="7"/>
  <c r="C229" i="7"/>
  <c r="P230" i="7"/>
  <c r="C259" i="7"/>
  <c r="C295" i="7"/>
  <c r="H319" i="7"/>
  <c r="H325" i="7"/>
  <c r="O347" i="7"/>
  <c r="P347" i="7" s="1"/>
  <c r="H349" i="7"/>
  <c r="G365" i="7"/>
  <c r="I373" i="7"/>
  <c r="I377" i="7"/>
  <c r="I379" i="7"/>
  <c r="C385" i="7"/>
  <c r="R188" i="13"/>
  <c r="R44" i="13"/>
  <c r="P80" i="7"/>
  <c r="H117" i="7"/>
  <c r="G117" i="7"/>
  <c r="G19" i="7"/>
  <c r="H61" i="7"/>
  <c r="G69" i="7"/>
  <c r="R41" i="13"/>
  <c r="O15" i="11"/>
  <c r="R45" i="13"/>
  <c r="O17" i="11"/>
  <c r="O81" i="7"/>
  <c r="P81" i="7" s="1"/>
  <c r="G99" i="7"/>
  <c r="G131" i="7"/>
  <c r="H147" i="7"/>
  <c r="G147" i="7"/>
  <c r="H273" i="7"/>
  <c r="G273" i="7"/>
  <c r="G321" i="7"/>
  <c r="H321" i="7"/>
  <c r="G323" i="7"/>
  <c r="H323" i="7"/>
  <c r="R36" i="13"/>
  <c r="O13" i="11"/>
  <c r="P64" i="7"/>
  <c r="O10" i="11"/>
  <c r="P20" i="7"/>
  <c r="C27" i="7"/>
  <c r="R11" i="16"/>
  <c r="K41" i="16" s="1"/>
  <c r="R18" i="13"/>
  <c r="H29" i="7"/>
  <c r="G31" i="7"/>
  <c r="R21" i="13"/>
  <c r="O11" i="11"/>
  <c r="I35" i="7"/>
  <c r="I53" i="7"/>
  <c r="G55" i="7"/>
  <c r="I69" i="7"/>
  <c r="G71" i="7"/>
  <c r="O73" i="7"/>
  <c r="P73" i="7" s="1"/>
  <c r="I77" i="7"/>
  <c r="P82" i="7"/>
  <c r="G89" i="7"/>
  <c r="G113" i="7"/>
  <c r="G129" i="7"/>
  <c r="G137" i="7"/>
  <c r="H145" i="7"/>
  <c r="H149" i="7"/>
  <c r="R84" i="13"/>
  <c r="O26" i="11"/>
  <c r="O159" i="7"/>
  <c r="P159" i="7" s="1"/>
  <c r="R164" i="13"/>
  <c r="O47" i="11"/>
  <c r="P320" i="7"/>
  <c r="H327" i="7"/>
  <c r="H329" i="7"/>
  <c r="G329" i="7"/>
  <c r="H339" i="7"/>
  <c r="G339" i="7"/>
  <c r="H347" i="7"/>
  <c r="G347" i="7"/>
  <c r="G325" i="7"/>
  <c r="H377" i="7"/>
  <c r="G377" i="7"/>
  <c r="G25" i="7"/>
  <c r="C59" i="7"/>
  <c r="G63" i="7"/>
  <c r="C67" i="7"/>
  <c r="R38" i="13"/>
  <c r="O14" i="11"/>
  <c r="P74" i="7"/>
  <c r="G87" i="7"/>
  <c r="O20" i="11"/>
  <c r="R51" i="13"/>
  <c r="H109" i="7"/>
  <c r="G125" i="7"/>
  <c r="H139" i="7"/>
  <c r="C143" i="7"/>
  <c r="G153" i="7"/>
  <c r="P160" i="7"/>
  <c r="H237" i="7"/>
  <c r="G237" i="7"/>
  <c r="G269" i="7"/>
  <c r="H269" i="7"/>
  <c r="H305" i="7"/>
  <c r="G305" i="7"/>
  <c r="O319" i="7"/>
  <c r="P319" i="7" s="1"/>
  <c r="C373" i="7"/>
  <c r="H205" i="7"/>
  <c r="G205" i="7"/>
  <c r="G379" i="7"/>
  <c r="H379" i="7"/>
  <c r="R14" i="16"/>
  <c r="K44" i="16" s="1"/>
  <c r="R12" i="16"/>
  <c r="K42" i="16" s="1"/>
  <c r="R19" i="13"/>
  <c r="I31" i="7"/>
  <c r="H37" i="7"/>
  <c r="G41" i="7"/>
  <c r="H57" i="7"/>
  <c r="I71" i="7"/>
  <c r="G73" i="7"/>
  <c r="O18" i="11"/>
  <c r="R48" i="13"/>
  <c r="H97" i="7"/>
  <c r="H101" i="7"/>
  <c r="G103" i="7"/>
  <c r="H135" i="7"/>
  <c r="I139" i="7"/>
  <c r="C145" i="7"/>
  <c r="G167" i="7"/>
  <c r="H195" i="7"/>
  <c r="G195" i="7"/>
  <c r="P234" i="7"/>
  <c r="O38" i="11"/>
  <c r="R121" i="13"/>
  <c r="H241" i="7"/>
  <c r="G265" i="7"/>
  <c r="H277" i="7"/>
  <c r="G277" i="7"/>
  <c r="H281" i="7"/>
  <c r="G281" i="7"/>
  <c r="H287" i="7"/>
  <c r="G287" i="7"/>
  <c r="H301" i="7"/>
  <c r="G301" i="7"/>
  <c r="C319" i="7"/>
  <c r="H341" i="7"/>
  <c r="G389" i="7"/>
  <c r="H389" i="7"/>
  <c r="R20" i="13"/>
  <c r="O31" i="7"/>
  <c r="P31" i="7" s="1"/>
  <c r="R13" i="16"/>
  <c r="K43" i="16" s="1"/>
  <c r="G11" i="7"/>
  <c r="H23" i="7"/>
  <c r="G33" i="7"/>
  <c r="R22" i="13"/>
  <c r="O12" i="11"/>
  <c r="O35" i="7"/>
  <c r="P35" i="7" s="1"/>
  <c r="G39" i="7"/>
  <c r="O16" i="11"/>
  <c r="O77" i="7"/>
  <c r="P77" i="7" s="1"/>
  <c r="R52" i="13"/>
  <c r="O21" i="11"/>
  <c r="O95" i="7"/>
  <c r="P95" i="7" s="1"/>
  <c r="O97" i="7"/>
  <c r="P97" i="7" s="1"/>
  <c r="R53" i="13"/>
  <c r="P98" i="7"/>
  <c r="G159" i="7"/>
  <c r="H225" i="7"/>
  <c r="G225" i="7"/>
  <c r="O39" i="11"/>
  <c r="R122" i="13"/>
  <c r="P236" i="7"/>
  <c r="O235" i="7"/>
  <c r="P235" i="7" s="1"/>
  <c r="G245" i="7"/>
  <c r="H245" i="7"/>
  <c r="G295" i="7"/>
  <c r="O79" i="7"/>
  <c r="P79" i="7" s="1"/>
  <c r="H19" i="7"/>
  <c r="C15" i="7"/>
  <c r="R12" i="13"/>
  <c r="O9" i="11"/>
  <c r="H17" i="7"/>
  <c r="I19" i="7"/>
  <c r="P36" i="7"/>
  <c r="I41" i="7"/>
  <c r="H51" i="7"/>
  <c r="P78" i="7"/>
  <c r="P88" i="7"/>
  <c r="G93" i="7"/>
  <c r="P96" i="7"/>
  <c r="H105" i="7"/>
  <c r="C109" i="7"/>
  <c r="G121" i="7"/>
  <c r="H123" i="7"/>
  <c r="H131" i="7"/>
  <c r="C135" i="7"/>
  <c r="H143" i="7"/>
  <c r="H165" i="7"/>
  <c r="R90" i="13"/>
  <c r="O29" i="11"/>
  <c r="P172" i="7"/>
  <c r="G185" i="7"/>
  <c r="G249" i="7"/>
  <c r="H249" i="7"/>
  <c r="C269" i="7"/>
  <c r="P286" i="7"/>
  <c r="O44" i="11"/>
  <c r="O285" i="7"/>
  <c r="P285" i="7" s="1"/>
  <c r="R147" i="13"/>
  <c r="G315" i="7"/>
  <c r="R28" i="16"/>
  <c r="K58" i="16" s="1"/>
  <c r="P366" i="7"/>
  <c r="O365" i="7"/>
  <c r="P365" i="7" s="1"/>
  <c r="R187" i="13"/>
  <c r="I43" i="7"/>
  <c r="I55" i="7"/>
  <c r="I61" i="7"/>
  <c r="C71" i="7"/>
  <c r="I79" i="7"/>
  <c r="I85" i="7"/>
  <c r="I111" i="7"/>
  <c r="C139" i="7"/>
  <c r="G169" i="7"/>
  <c r="O173" i="7"/>
  <c r="P173" i="7" s="1"/>
  <c r="O30" i="11"/>
  <c r="G175" i="7"/>
  <c r="G179" i="7"/>
  <c r="P188" i="7"/>
  <c r="R98" i="13"/>
  <c r="I201" i="7"/>
  <c r="G209" i="7"/>
  <c r="I217" i="7"/>
  <c r="I223" i="7"/>
  <c r="C235" i="7"/>
  <c r="I293" i="7"/>
  <c r="I309" i="7"/>
  <c r="C313" i="7"/>
  <c r="G351" i="7"/>
  <c r="I355" i="7"/>
  <c r="G373" i="7"/>
  <c r="O37" i="11"/>
  <c r="O49" i="11"/>
  <c r="R119" i="13"/>
  <c r="R190" i="13"/>
  <c r="H199" i="7"/>
  <c r="H215" i="7"/>
  <c r="R115" i="13"/>
  <c r="O36" i="11"/>
  <c r="G243" i="7"/>
  <c r="H259" i="7"/>
  <c r="R141" i="13"/>
  <c r="O42" i="11"/>
  <c r="H275" i="7"/>
  <c r="G275" i="7"/>
  <c r="G279" i="7"/>
  <c r="G283" i="7"/>
  <c r="G285" i="7"/>
  <c r="G289" i="7"/>
  <c r="G311" i="7"/>
  <c r="O40" i="11"/>
  <c r="R111" i="13"/>
  <c r="I39" i="7"/>
  <c r="I51" i="7"/>
  <c r="G79" i="7"/>
  <c r="I87" i="7"/>
  <c r="I101" i="7"/>
  <c r="C107" i="7"/>
  <c r="G155" i="7"/>
  <c r="O165" i="7"/>
  <c r="P165" i="7" s="1"/>
  <c r="R92" i="13"/>
  <c r="P176" i="7"/>
  <c r="G201" i="7"/>
  <c r="H201" i="7"/>
  <c r="I203" i="7"/>
  <c r="I209" i="7"/>
  <c r="O213" i="7"/>
  <c r="P213" i="7" s="1"/>
  <c r="O221" i="7"/>
  <c r="P221" i="7" s="1"/>
  <c r="G223" i="7"/>
  <c r="I225" i="7"/>
  <c r="P246" i="7"/>
  <c r="I263" i="7"/>
  <c r="O273" i="7"/>
  <c r="P273" i="7" s="1"/>
  <c r="G303" i="7"/>
  <c r="H309" i="7"/>
  <c r="G309" i="7"/>
  <c r="O315" i="7"/>
  <c r="P315" i="7" s="1"/>
  <c r="G331" i="7"/>
  <c r="H333" i="7"/>
  <c r="G333" i="7"/>
  <c r="G343" i="7"/>
  <c r="O351" i="7"/>
  <c r="P351" i="7" s="1"/>
  <c r="O57" i="11"/>
  <c r="R180" i="13"/>
  <c r="H365" i="7"/>
  <c r="G367" i="7"/>
  <c r="C369" i="7"/>
  <c r="G385" i="7"/>
  <c r="R50" i="13"/>
  <c r="R67" i="13"/>
  <c r="O28" i="11"/>
  <c r="I227" i="7"/>
  <c r="H251" i="7"/>
  <c r="G251" i="7"/>
  <c r="I265" i="7"/>
  <c r="C293" i="7"/>
  <c r="C353" i="7"/>
  <c r="P372" i="7"/>
  <c r="O31" i="11"/>
  <c r="G149" i="7"/>
  <c r="I151" i="7"/>
  <c r="H171" i="7"/>
  <c r="G193" i="7"/>
  <c r="G233" i="7"/>
  <c r="I237" i="7"/>
  <c r="I245" i="7"/>
  <c r="C287" i="7"/>
  <c r="C301" i="7"/>
  <c r="I323" i="7"/>
  <c r="C357" i="7"/>
  <c r="G387" i="7"/>
  <c r="O19" i="11"/>
  <c r="H355" i="7"/>
  <c r="I357" i="7"/>
  <c r="I371" i="7"/>
  <c r="G293" i="7"/>
  <c r="H313" i="7"/>
  <c r="I57" i="7"/>
  <c r="I83" i="7"/>
  <c r="I107" i="7"/>
  <c r="G115" i="7"/>
  <c r="C121" i="7"/>
  <c r="C163" i="7"/>
  <c r="C211" i="7"/>
  <c r="H227" i="7"/>
  <c r="I229" i="7"/>
  <c r="G235" i="7"/>
  <c r="C241" i="7"/>
  <c r="I267" i="7"/>
  <c r="C279" i="7"/>
  <c r="I321" i="7"/>
  <c r="G337" i="7"/>
  <c r="I339" i="7"/>
  <c r="I343" i="7"/>
  <c r="I347" i="7"/>
  <c r="H361" i="7"/>
  <c r="I363" i="7"/>
  <c r="I395" i="7"/>
  <c r="G109" i="7"/>
  <c r="I141" i="7"/>
  <c r="I153" i="7"/>
  <c r="I181" i="7"/>
  <c r="I187" i="7"/>
  <c r="G191" i="7"/>
  <c r="H197" i="7"/>
  <c r="I213" i="7"/>
  <c r="I269" i="7"/>
  <c r="I315" i="7"/>
  <c r="I325" i="7"/>
  <c r="I341" i="7"/>
  <c r="I345" i="7"/>
  <c r="I349" i="7"/>
  <c r="I365" i="7"/>
  <c r="I369" i="7"/>
  <c r="G356" i="24"/>
  <c r="F356" i="24" s="1"/>
  <c r="E357" i="24"/>
  <c r="N370" i="24"/>
  <c r="N108" i="24"/>
  <c r="N124" i="24"/>
  <c r="N140" i="24"/>
  <c r="N188" i="24"/>
  <c r="N222" i="24"/>
  <c r="N238" i="24"/>
  <c r="N328" i="24"/>
  <c r="N344" i="24"/>
  <c r="N42" i="24"/>
  <c r="N46" i="24"/>
  <c r="N58" i="24"/>
  <c r="N74" i="24"/>
  <c r="N78" i="24"/>
  <c r="N94" i="24"/>
  <c r="N122" i="24"/>
  <c r="N138" i="24"/>
  <c r="N142" i="24"/>
  <c r="N170" i="24"/>
  <c r="N174" i="24"/>
  <c r="N186" i="24"/>
  <c r="N204" i="24"/>
  <c r="N208" i="24"/>
  <c r="N220" i="24"/>
  <c r="N224" i="24"/>
  <c r="N236" i="24"/>
  <c r="N256" i="24"/>
  <c r="N280" i="24"/>
  <c r="N443" i="24"/>
  <c r="N73" i="24"/>
  <c r="N409" i="24"/>
  <c r="N413" i="24"/>
  <c r="N57" i="24"/>
  <c r="N390" i="24"/>
  <c r="N406" i="24"/>
  <c r="N418" i="24"/>
  <c r="N139" i="24"/>
  <c r="N209" i="24"/>
  <c r="N225" i="24"/>
  <c r="N233" i="24"/>
  <c r="N375" i="24"/>
  <c r="N387" i="24"/>
  <c r="N205" i="24"/>
  <c r="N213" i="24"/>
  <c r="N229" i="24"/>
  <c r="N273" i="24"/>
  <c r="N32" i="24"/>
  <c r="N36" i="24"/>
  <c r="N40" i="24"/>
  <c r="N312" i="24"/>
  <c r="N372" i="24"/>
  <c r="N388" i="24"/>
  <c r="N420" i="24"/>
  <c r="N160" i="24"/>
  <c r="N164" i="24"/>
  <c r="N168" i="24"/>
  <c r="N242" i="24"/>
  <c r="N246" i="24"/>
  <c r="N250" i="24"/>
  <c r="N274" i="24"/>
  <c r="N294" i="24"/>
  <c r="N315" i="24"/>
  <c r="N319" i="24"/>
  <c r="N323" i="24"/>
  <c r="N343" i="24"/>
  <c r="N347" i="24"/>
  <c r="N351" i="24"/>
  <c r="N355" i="24"/>
  <c r="N394" i="24"/>
  <c r="N398" i="24"/>
  <c r="N402" i="24"/>
  <c r="N422" i="24"/>
  <c r="N439" i="24"/>
  <c r="N446" i="24"/>
  <c r="N450" i="24"/>
  <c r="N454" i="24"/>
  <c r="N458" i="24"/>
  <c r="N121" i="24"/>
  <c r="N185" i="24"/>
  <c r="N14" i="24"/>
  <c r="N279" i="24"/>
  <c r="N291" i="24"/>
  <c r="N98" i="24"/>
  <c r="N110" i="24"/>
  <c r="N150" i="24"/>
  <c r="N158" i="24"/>
  <c r="N317" i="24"/>
  <c r="N321" i="24"/>
  <c r="N325" i="24"/>
  <c r="N329" i="24"/>
  <c r="N444" i="24"/>
  <c r="N448" i="24"/>
  <c r="N452" i="24"/>
  <c r="N189" i="24"/>
  <c r="N447" i="24"/>
  <c r="N451" i="24"/>
  <c r="N10" i="24"/>
  <c r="N86" i="24"/>
  <c r="N283" i="24"/>
  <c r="N287" i="24"/>
  <c r="N440" i="24"/>
  <c r="N102" i="24"/>
  <c r="N146" i="24"/>
  <c r="N75" i="24"/>
  <c r="N260" i="24"/>
  <c r="N264" i="24"/>
  <c r="N272" i="24"/>
  <c r="N314" i="24"/>
  <c r="N326" i="24"/>
  <c r="N330" i="24"/>
  <c r="N346" i="24"/>
  <c r="N377" i="24"/>
  <c r="N381" i="24"/>
  <c r="N385" i="24"/>
  <c r="N441" i="24"/>
  <c r="N137" i="24"/>
  <c r="N207" i="24"/>
  <c r="N403" i="24"/>
  <c r="N6" i="24"/>
  <c r="N30" i="24"/>
  <c r="N82" i="24"/>
  <c r="N60" i="24"/>
  <c r="N76" i="24"/>
  <c r="N374" i="24"/>
  <c r="N386" i="24"/>
  <c r="N417" i="24"/>
  <c r="N118" i="24"/>
  <c r="N218" i="24"/>
  <c r="N34" i="24"/>
  <c r="N162" i="24"/>
  <c r="N227" i="24"/>
  <c r="N54" i="24"/>
  <c r="N62" i="24"/>
  <c r="N89" i="24"/>
  <c r="N112" i="24"/>
  <c r="N116" i="24"/>
  <c r="N128" i="24"/>
  <c r="N132" i="24"/>
  <c r="N136" i="24"/>
  <c r="N178" i="24"/>
  <c r="N182" i="24"/>
  <c r="N190" i="24"/>
  <c r="N212" i="24"/>
  <c r="N216" i="24"/>
  <c r="N243" i="24"/>
  <c r="N247" i="24"/>
  <c r="N251" i="24"/>
  <c r="N297" i="24"/>
  <c r="N301" i="24"/>
  <c r="N305" i="24"/>
  <c r="N311" i="24"/>
  <c r="N318" i="24"/>
  <c r="N322" i="24"/>
  <c r="N359" i="24"/>
  <c r="N365" i="24"/>
  <c r="N369" i="24"/>
  <c r="N376" i="24"/>
  <c r="N380" i="24"/>
  <c r="N384" i="24"/>
  <c r="N410" i="24"/>
  <c r="N414" i="24"/>
  <c r="N421" i="24"/>
  <c r="N425" i="24"/>
  <c r="N68" i="24"/>
  <c r="N114" i="24"/>
  <c r="N180" i="24"/>
  <c r="N214" i="24"/>
  <c r="N100" i="24"/>
  <c r="N166" i="24"/>
  <c r="N231" i="24"/>
  <c r="N50" i="24"/>
  <c r="N16" i="24"/>
  <c r="N20" i="24"/>
  <c r="N43" i="24"/>
  <c r="N105" i="24"/>
  <c r="N152" i="24"/>
  <c r="N156" i="24"/>
  <c r="N171" i="24"/>
  <c r="N252" i="24"/>
  <c r="N282" i="24"/>
  <c r="N286" i="24"/>
  <c r="N290" i="24"/>
  <c r="N334" i="24"/>
  <c r="N338" i="24"/>
  <c r="N350" i="24"/>
  <c r="N354" i="24"/>
  <c r="N360" i="24"/>
  <c r="N17" i="24"/>
  <c r="N52" i="24"/>
  <c r="N64" i="24"/>
  <c r="N176" i="24"/>
  <c r="N192" i="24"/>
  <c r="N38" i="24"/>
  <c r="N96" i="24"/>
  <c r="N104" i="24"/>
  <c r="N223" i="24"/>
  <c r="N235" i="24"/>
  <c r="N44" i="24"/>
  <c r="N106" i="24"/>
  <c r="N172" i="24"/>
  <c r="N217" i="24"/>
  <c r="N404" i="24"/>
  <c r="N455" i="24"/>
  <c r="N48" i="24"/>
  <c r="N72" i="24"/>
  <c r="N126" i="24"/>
  <c r="N202" i="24"/>
  <c r="N210" i="24"/>
  <c r="N241" i="24"/>
  <c r="N245" i="24"/>
  <c r="N249" i="24"/>
  <c r="N253" i="24"/>
  <c r="N295" i="24"/>
  <c r="N408" i="24"/>
  <c r="N412" i="24"/>
  <c r="N416" i="24"/>
  <c r="N423" i="24"/>
  <c r="N427" i="24"/>
  <c r="N436" i="24"/>
  <c r="N41" i="24"/>
  <c r="N88" i="24"/>
  <c r="N92" i="24"/>
  <c r="N107" i="24"/>
  <c r="N169" i="24"/>
  <c r="N254" i="24"/>
  <c r="N284" i="24"/>
  <c r="N288" i="24"/>
  <c r="N292" i="24"/>
  <c r="N296" i="24"/>
  <c r="N310" i="24"/>
  <c r="N332" i="24"/>
  <c r="N336" i="24"/>
  <c r="N340" i="24"/>
  <c r="N348" i="24"/>
  <c r="N352" i="24"/>
  <c r="N356" i="24"/>
  <c r="N358" i="24"/>
  <c r="N405" i="24"/>
  <c r="F196" i="24"/>
  <c r="N19" i="24"/>
  <c r="N61" i="24"/>
  <c r="N91" i="24"/>
  <c r="N125" i="24"/>
  <c r="N155" i="24"/>
  <c r="N327" i="24"/>
  <c r="N392" i="24"/>
  <c r="N396" i="24"/>
  <c r="N400" i="24"/>
  <c r="N12" i="24"/>
  <c r="N80" i="24"/>
  <c r="N148" i="24"/>
  <c r="N303" i="24"/>
  <c r="N363" i="24"/>
  <c r="N66" i="24"/>
  <c r="N70" i="24"/>
  <c r="N130" i="24"/>
  <c r="N194" i="24"/>
  <c r="N29" i="24"/>
  <c r="N59" i="24"/>
  <c r="N93" i="24"/>
  <c r="N123" i="24"/>
  <c r="N157" i="24"/>
  <c r="N187" i="24"/>
  <c r="N258" i="24"/>
  <c r="N262" i="24"/>
  <c r="N270" i="24"/>
  <c r="N456" i="24"/>
  <c r="N460" i="24"/>
  <c r="N8" i="24"/>
  <c r="N84" i="24"/>
  <c r="N309" i="24"/>
  <c r="N367" i="24"/>
  <c r="N134" i="24"/>
  <c r="N200" i="24"/>
  <c r="N18" i="24"/>
  <c r="N56" i="24"/>
  <c r="N90" i="24"/>
  <c r="N120" i="24"/>
  <c r="N154" i="24"/>
  <c r="N184" i="24"/>
  <c r="N240" i="24"/>
  <c r="N345" i="24"/>
  <c r="N144" i="24"/>
  <c r="N299" i="24"/>
  <c r="N361" i="24"/>
  <c r="N206" i="24"/>
  <c r="N342" i="24"/>
  <c r="N434" i="24"/>
  <c r="N438" i="24"/>
  <c r="N7" i="24"/>
  <c r="N11" i="24"/>
  <c r="N15" i="24"/>
  <c r="N33" i="24"/>
  <c r="N37" i="24"/>
  <c r="N47" i="24"/>
  <c r="N51" i="24"/>
  <c r="N55" i="24"/>
  <c r="N65" i="24"/>
  <c r="N69" i="24"/>
  <c r="N79" i="24"/>
  <c r="N83" i="24"/>
  <c r="N87" i="24"/>
  <c r="N97" i="24"/>
  <c r="N101" i="24"/>
  <c r="N111" i="24"/>
  <c r="N115" i="24"/>
  <c r="N119" i="24"/>
  <c r="N129" i="24"/>
  <c r="N133" i="24"/>
  <c r="N143" i="24"/>
  <c r="N147" i="24"/>
  <c r="N151" i="24"/>
  <c r="N161" i="24"/>
  <c r="N165" i="24"/>
  <c r="N175" i="24"/>
  <c r="N179" i="24"/>
  <c r="N183" i="24"/>
  <c r="N193" i="24"/>
  <c r="N199" i="24"/>
  <c r="N203" i="24"/>
  <c r="N221" i="24"/>
  <c r="N228" i="24"/>
  <c r="N232" i="24"/>
  <c r="N239" i="24"/>
  <c r="N257" i="24"/>
  <c r="N261" i="24"/>
  <c r="N269" i="24"/>
  <c r="N298" i="24"/>
  <c r="N302" i="24"/>
  <c r="N308" i="24"/>
  <c r="N333" i="24"/>
  <c r="N337" i="24"/>
  <c r="N341" i="24"/>
  <c r="N357" i="24"/>
  <c r="N366" i="24"/>
  <c r="N373" i="24"/>
  <c r="N391" i="24"/>
  <c r="N395" i="24"/>
  <c r="N399" i="24"/>
  <c r="N424" i="24"/>
  <c r="N428" i="24"/>
  <c r="N437" i="24"/>
  <c r="N459" i="24"/>
  <c r="N215" i="24"/>
  <c r="N244" i="24"/>
  <c r="N281" i="24"/>
  <c r="N289" i="24"/>
  <c r="N320" i="24"/>
  <c r="N324" i="24"/>
  <c r="N349" i="24"/>
  <c r="N378" i="24"/>
  <c r="N389" i="24"/>
  <c r="N407" i="24"/>
  <c r="N415" i="24"/>
  <c r="N449" i="24"/>
  <c r="N453" i="24"/>
  <c r="N9" i="24"/>
  <c r="N13" i="24"/>
  <c r="N31" i="24"/>
  <c r="N35" i="24"/>
  <c r="N39" i="24"/>
  <c r="N49" i="24"/>
  <c r="N53" i="24"/>
  <c r="N63" i="24"/>
  <c r="N67" i="24"/>
  <c r="N71" i="24"/>
  <c r="N81" i="24"/>
  <c r="N85" i="24"/>
  <c r="N95" i="24"/>
  <c r="N99" i="24"/>
  <c r="N103" i="24"/>
  <c r="N113" i="24"/>
  <c r="N117" i="24"/>
  <c r="N127" i="24"/>
  <c r="N131" i="24"/>
  <c r="N135" i="24"/>
  <c r="N145" i="24"/>
  <c r="N149" i="24"/>
  <c r="N159" i="24"/>
  <c r="N163" i="24"/>
  <c r="N167" i="24"/>
  <c r="N177" i="24"/>
  <c r="N181" i="24"/>
  <c r="N191" i="24"/>
  <c r="N195" i="24"/>
  <c r="N201" i="24"/>
  <c r="N226" i="24"/>
  <c r="N230" i="24"/>
  <c r="N234" i="24"/>
  <c r="N259" i="24"/>
  <c r="N263" i="24"/>
  <c r="N271" i="24"/>
  <c r="N293" i="24"/>
  <c r="N300" i="24"/>
  <c r="N304" i="24"/>
  <c r="N313" i="24"/>
  <c r="N331" i="24"/>
  <c r="N335" i="24"/>
  <c r="N339" i="24"/>
  <c r="N362" i="24"/>
  <c r="N364" i="24"/>
  <c r="N368" i="24"/>
  <c r="N393" i="24"/>
  <c r="N397" i="24"/>
  <c r="N401" i="24"/>
  <c r="N419" i="24"/>
  <c r="N426" i="24"/>
  <c r="N435" i="24"/>
  <c r="N442" i="24"/>
  <c r="N457" i="24"/>
  <c r="N45" i="24"/>
  <c r="N77" i="24"/>
  <c r="N109" i="24"/>
  <c r="N141" i="24"/>
  <c r="N173" i="24"/>
  <c r="N211" i="24"/>
  <c r="N219" i="24"/>
  <c r="N237" i="24"/>
  <c r="N248" i="24"/>
  <c r="N255" i="24"/>
  <c r="N285" i="24"/>
  <c r="N316" i="24"/>
  <c r="N353" i="24"/>
  <c r="N371" i="24"/>
  <c r="N382" i="24"/>
  <c r="N411" i="24"/>
  <c r="N445" i="24"/>
  <c r="N153" i="24"/>
  <c r="N379" i="24"/>
  <c r="N383" i="24"/>
  <c r="N196" i="24"/>
  <c r="D379" i="24"/>
  <c r="F379" i="24" s="1"/>
  <c r="C380" i="24" s="1"/>
  <c r="F380" i="24" s="1"/>
  <c r="D339" i="24"/>
  <c r="F339" i="24" s="1"/>
  <c r="C340" i="24" s="1"/>
  <c r="F340" i="24" s="1"/>
  <c r="D311" i="24"/>
  <c r="G311" i="24" s="1"/>
  <c r="D287" i="24"/>
  <c r="G287" i="24" s="1"/>
  <c r="D261" i="24"/>
  <c r="F261" i="24" s="1"/>
  <c r="C262" i="24" s="1"/>
  <c r="F262" i="24" s="1"/>
  <c r="D255" i="24"/>
  <c r="F255" i="24" s="1"/>
  <c r="C256" i="24" s="1"/>
  <c r="F256" i="24" s="1"/>
  <c r="D243" i="24"/>
  <c r="F243" i="24" s="1"/>
  <c r="C244" i="24" s="1"/>
  <c r="F244" i="24" s="1"/>
  <c r="D215" i="24"/>
  <c r="F215" i="24" s="1"/>
  <c r="C216" i="24" s="1"/>
  <c r="F216" i="24" s="1"/>
  <c r="D211" i="24"/>
  <c r="F211" i="24" s="1"/>
  <c r="C212" i="24" s="1"/>
  <c r="F212" i="24" s="1"/>
  <c r="D191" i="24"/>
  <c r="G191" i="24" s="1"/>
  <c r="D179" i="24"/>
  <c r="F179" i="24" s="1"/>
  <c r="C180" i="24" s="1"/>
  <c r="F180" i="24" s="1"/>
  <c r="D169" i="24"/>
  <c r="F169" i="24" s="1"/>
  <c r="C170" i="24" s="1"/>
  <c r="F170" i="24" s="1"/>
  <c r="D163" i="24"/>
  <c r="F163" i="24" s="1"/>
  <c r="C164" i="24" s="1"/>
  <c r="F164" i="24" s="1"/>
  <c r="D153" i="24"/>
  <c r="F153" i="24" s="1"/>
  <c r="C154" i="24" s="1"/>
  <c r="F154" i="24" s="1"/>
  <c r="D147" i="24"/>
  <c r="F147" i="24" s="1"/>
  <c r="C148" i="24" s="1"/>
  <c r="F148" i="24" s="1"/>
  <c r="D97" i="24"/>
  <c r="F97" i="24" s="1"/>
  <c r="C98" i="24" s="1"/>
  <c r="F98" i="24" s="1"/>
  <c r="D79" i="24"/>
  <c r="F79" i="24" s="1"/>
  <c r="C80" i="24" s="1"/>
  <c r="F80" i="24" s="1"/>
  <c r="D73" i="24"/>
  <c r="F73" i="24" s="1"/>
  <c r="C74" i="24" s="1"/>
  <c r="F74" i="24" s="1"/>
  <c r="D9" i="24"/>
  <c r="F9" i="24" s="1"/>
  <c r="C10" i="24" s="1"/>
  <c r="F10" i="24" s="1"/>
  <c r="O61" i="11"/>
  <c r="R202" i="13"/>
  <c r="I397" i="7"/>
  <c r="H397" i="7"/>
  <c r="C397" i="7"/>
  <c r="O395" i="7"/>
  <c r="P395" i="7" s="1"/>
  <c r="G395" i="7"/>
  <c r="I391" i="7"/>
  <c r="I387" i="7"/>
  <c r="I381" i="7"/>
  <c r="G381" i="7"/>
  <c r="G361" i="7"/>
  <c r="G359" i="7"/>
  <c r="I359" i="7"/>
  <c r="I353" i="7"/>
  <c r="I335" i="7"/>
  <c r="I333" i="7"/>
  <c r="I327" i="7"/>
  <c r="I317" i="7"/>
  <c r="G313" i="7"/>
  <c r="I311" i="7"/>
  <c r="I307" i="7"/>
  <c r="I305" i="7"/>
  <c r="I301" i="7"/>
  <c r="I299" i="7"/>
  <c r="I297" i="7"/>
  <c r="I289" i="7"/>
  <c r="I287" i="7"/>
  <c r="I285" i="7"/>
  <c r="I277" i="7"/>
  <c r="G271" i="7"/>
  <c r="G259" i="7"/>
  <c r="I259" i="7"/>
  <c r="I251" i="7"/>
  <c r="I243" i="7"/>
  <c r="I235" i="7"/>
  <c r="I221" i="7"/>
  <c r="G217" i="7"/>
  <c r="I215" i="7"/>
  <c r="G215" i="7"/>
  <c r="I211" i="7"/>
  <c r="I207" i="7"/>
  <c r="G207" i="7"/>
  <c r="I205" i="7"/>
  <c r="I199" i="7"/>
  <c r="G199" i="7"/>
  <c r="G197" i="7"/>
  <c r="I191" i="7"/>
  <c r="I177" i="7"/>
  <c r="G177" i="7"/>
  <c r="G173" i="7"/>
  <c r="I171" i="7"/>
  <c r="I161" i="7"/>
  <c r="I159" i="7"/>
  <c r="I155" i="7"/>
  <c r="I145" i="7"/>
  <c r="I137" i="7"/>
  <c r="I135" i="7"/>
  <c r="I133" i="7"/>
  <c r="I131" i="7"/>
  <c r="G127" i="7"/>
  <c r="I125" i="7"/>
  <c r="I121" i="7"/>
  <c r="G119" i="7"/>
  <c r="I115" i="7"/>
  <c r="I109" i="7"/>
  <c r="G97" i="7"/>
  <c r="G95" i="7"/>
  <c r="I89" i="7"/>
  <c r="G83" i="7"/>
  <c r="I73" i="7"/>
  <c r="I67" i="7"/>
  <c r="I63" i="7"/>
  <c r="G49" i="7"/>
  <c r="I45" i="7"/>
  <c r="G37" i="7"/>
  <c r="I29" i="7"/>
  <c r="G29" i="7"/>
  <c r="G17" i="7"/>
  <c r="I9" i="7"/>
  <c r="D357" i="24" l="1"/>
  <c r="F311" i="24"/>
  <c r="C312" i="24" s="1"/>
  <c r="D312" i="24"/>
  <c r="G312" i="24" s="1"/>
  <c r="F287" i="24"/>
  <c r="C288" i="24" s="1"/>
  <c r="D288" i="24"/>
  <c r="G288" i="24" s="1"/>
  <c r="F191" i="24"/>
  <c r="C192" i="24" s="1"/>
  <c r="D192" i="24"/>
  <c r="G192" i="24" s="1"/>
  <c r="C5" i="23"/>
  <c r="F312" i="24" l="1"/>
  <c r="C313" i="24" s="1"/>
  <c r="D313" i="24"/>
  <c r="F288" i="24"/>
  <c r="C289" i="24" s="1"/>
  <c r="D289" i="24"/>
  <c r="F192" i="24"/>
  <c r="C193" i="24" s="1"/>
  <c r="D193" i="24"/>
  <c r="L76" i="15"/>
  <c r="L75" i="15"/>
  <c r="L74" i="15"/>
  <c r="L73" i="15"/>
  <c r="L72" i="15"/>
  <c r="L71" i="15"/>
  <c r="L70" i="15"/>
  <c r="L69" i="15"/>
  <c r="L68" i="15"/>
  <c r="L67" i="15"/>
  <c r="L66" i="15"/>
  <c r="L65" i="15"/>
  <c r="L64" i="15"/>
  <c r="L63" i="15"/>
  <c r="L62" i="15"/>
  <c r="L61" i="15"/>
  <c r="L60" i="15"/>
  <c r="L59" i="15"/>
  <c r="L58" i="15"/>
  <c r="Q75" i="15"/>
  <c r="Q74" i="15"/>
  <c r="Q73" i="15"/>
  <c r="Q72" i="15"/>
  <c r="E70" i="15"/>
  <c r="Q68" i="15"/>
  <c r="Q67" i="15"/>
  <c r="Q65" i="15"/>
  <c r="Q64" i="15"/>
  <c r="Q63" i="15"/>
  <c r="Q62" i="15"/>
  <c r="Q61" i="15"/>
  <c r="I60" i="15"/>
  <c r="F313" i="24" l="1"/>
  <c r="C314" i="24" s="1"/>
  <c r="F314" i="24" s="1"/>
  <c r="F289" i="24"/>
  <c r="C290" i="24" s="1"/>
  <c r="F290" i="24" s="1"/>
  <c r="F193" i="24"/>
  <c r="C194" i="24" s="1"/>
  <c r="F194" i="24" s="1"/>
  <c r="Q58" i="15"/>
  <c r="Q70" i="15"/>
  <c r="Q60" i="15"/>
  <c r="H64" i="15"/>
  <c r="Q71" i="15"/>
  <c r="I68" i="15"/>
  <c r="M58" i="15"/>
  <c r="P58" i="15"/>
  <c r="I58" i="15"/>
  <c r="F58" i="15"/>
  <c r="G58" i="15"/>
  <c r="P59" i="15"/>
  <c r="H59" i="15"/>
  <c r="G59" i="15"/>
  <c r="M69" i="15"/>
  <c r="E69" i="15"/>
  <c r="H69" i="15"/>
  <c r="D69" i="15"/>
  <c r="I69" i="15"/>
  <c r="G69" i="15"/>
  <c r="P69" i="15"/>
  <c r="F69" i="15"/>
  <c r="M66" i="15"/>
  <c r="I66" i="15"/>
  <c r="G66" i="15"/>
  <c r="F66" i="15"/>
  <c r="P66" i="15"/>
  <c r="F71" i="15"/>
  <c r="D71" i="15"/>
  <c r="P71" i="15"/>
  <c r="Q59" i="15"/>
  <c r="I67" i="15"/>
  <c r="Q66" i="15"/>
  <c r="Q69" i="15"/>
  <c r="M63" i="15"/>
  <c r="H74" i="15"/>
  <c r="F62" i="15"/>
  <c r="F72" i="15"/>
  <c r="E75" i="15"/>
  <c r="G60" i="15"/>
  <c r="F60" i="15"/>
  <c r="E60" i="15"/>
  <c r="D60" i="15"/>
  <c r="P60" i="15"/>
  <c r="M60" i="15"/>
  <c r="I70" i="15"/>
  <c r="H70" i="15"/>
  <c r="G70" i="15"/>
  <c r="P70" i="15"/>
  <c r="F70" i="15"/>
  <c r="D70" i="15"/>
  <c r="H60" i="15"/>
  <c r="M70" i="15"/>
  <c r="I71" i="15"/>
  <c r="H71" i="15"/>
  <c r="G71" i="15"/>
  <c r="M71" i="15"/>
  <c r="E71" i="15"/>
  <c r="H58" i="15"/>
  <c r="I59" i="15"/>
  <c r="H66" i="15"/>
  <c r="M59" i="15"/>
  <c r="D59" i="15"/>
  <c r="D58" i="15"/>
  <c r="E59" i="15"/>
  <c r="D66" i="15"/>
  <c r="E58" i="15"/>
  <c r="F59" i="15"/>
  <c r="E66" i="15"/>
  <c r="P201" i="13"/>
  <c r="P200" i="13"/>
  <c r="O199" i="13"/>
  <c r="O198" i="13"/>
  <c r="P197" i="13"/>
  <c r="P196" i="13"/>
  <c r="P195" i="13"/>
  <c r="P194" i="13"/>
  <c r="P193" i="13"/>
  <c r="P192" i="13"/>
  <c r="O191" i="13"/>
  <c r="O190" i="13"/>
  <c r="P188" i="13"/>
  <c r="P186" i="13"/>
  <c r="P185" i="13"/>
  <c r="P184" i="13"/>
  <c r="O183" i="13"/>
  <c r="O182" i="13"/>
  <c r="P181" i="13"/>
  <c r="P180" i="13"/>
  <c r="P179" i="13"/>
  <c r="P178" i="13"/>
  <c r="P177" i="13"/>
  <c r="P176" i="13"/>
  <c r="O175" i="13"/>
  <c r="O174" i="13"/>
  <c r="P173" i="13"/>
  <c r="P172" i="13"/>
  <c r="P171" i="13"/>
  <c r="P170" i="13"/>
  <c r="P169" i="13"/>
  <c r="P168" i="13"/>
  <c r="O167" i="13"/>
  <c r="O166" i="13"/>
  <c r="P165" i="13"/>
  <c r="P164" i="13"/>
  <c r="P163" i="13"/>
  <c r="P162" i="13"/>
  <c r="P161" i="13"/>
  <c r="P160" i="13"/>
  <c r="O159" i="13"/>
  <c r="O158" i="13"/>
  <c r="P157" i="13"/>
  <c r="P156" i="13"/>
  <c r="P154" i="13"/>
  <c r="P153" i="13"/>
  <c r="P152" i="13"/>
  <c r="O151" i="13"/>
  <c r="O150" i="13"/>
  <c r="P149" i="13"/>
  <c r="P148" i="13"/>
  <c r="P147" i="13"/>
  <c r="P146" i="13"/>
  <c r="O145" i="13"/>
  <c r="P144" i="13"/>
  <c r="O143" i="13"/>
  <c r="O142" i="13"/>
  <c r="P141" i="13"/>
  <c r="P139" i="13"/>
  <c r="P137" i="13"/>
  <c r="O135" i="13"/>
  <c r="O134" i="13"/>
  <c r="P133" i="13"/>
  <c r="P131" i="13"/>
  <c r="P130" i="13"/>
  <c r="O129" i="13"/>
  <c r="P127" i="13"/>
  <c r="O126" i="13"/>
  <c r="O125" i="13"/>
  <c r="P124" i="13"/>
  <c r="P123" i="13"/>
  <c r="P122" i="13"/>
  <c r="O121" i="13"/>
  <c r="P119" i="13"/>
  <c r="O118" i="13"/>
  <c r="O117" i="13"/>
  <c r="P116" i="13"/>
  <c r="P115" i="13"/>
  <c r="P114" i="13"/>
  <c r="O113" i="13"/>
  <c r="O110" i="13"/>
  <c r="O109" i="13"/>
  <c r="P108" i="13"/>
  <c r="P107" i="13"/>
  <c r="P106" i="13"/>
  <c r="P105" i="13"/>
  <c r="P104" i="13"/>
  <c r="O103" i="13"/>
  <c r="O102" i="13"/>
  <c r="O101" i="13"/>
  <c r="P100" i="13"/>
  <c r="P99" i="13"/>
  <c r="P98" i="13"/>
  <c r="O97" i="13"/>
  <c r="P96" i="13"/>
  <c r="O95" i="13"/>
  <c r="O93" i="13"/>
  <c r="P92" i="13"/>
  <c r="P91" i="13"/>
  <c r="P90" i="13"/>
  <c r="O88" i="13"/>
  <c r="O87" i="13"/>
  <c r="O86" i="13"/>
  <c r="O85" i="13"/>
  <c r="P84" i="13"/>
  <c r="P83" i="13"/>
  <c r="P82" i="13"/>
  <c r="P81" i="13"/>
  <c r="O80" i="13"/>
  <c r="O79" i="13"/>
  <c r="O78" i="13"/>
  <c r="O77" i="13"/>
  <c r="P76" i="13"/>
  <c r="P75" i="13"/>
  <c r="P74" i="13"/>
  <c r="P73" i="13"/>
  <c r="O72" i="13"/>
  <c r="O71" i="13"/>
  <c r="O70" i="13"/>
  <c r="O69" i="13"/>
  <c r="P67" i="13"/>
  <c r="P66" i="13"/>
  <c r="O65" i="13"/>
  <c r="P64" i="13"/>
  <c r="O63" i="13"/>
  <c r="O62" i="13"/>
  <c r="O61" i="13"/>
  <c r="P60" i="13"/>
  <c r="P59" i="13"/>
  <c r="P58" i="13"/>
  <c r="O57" i="13"/>
  <c r="O56" i="13"/>
  <c r="O55" i="13"/>
  <c r="O54" i="13"/>
  <c r="O53" i="13"/>
  <c r="P52" i="13"/>
  <c r="P51" i="13"/>
  <c r="P50" i="13"/>
  <c r="O49" i="13"/>
  <c r="P48" i="13"/>
  <c r="O47" i="13"/>
  <c r="E68" i="15" l="1"/>
  <c r="D68" i="15"/>
  <c r="E74" i="15"/>
  <c r="G63" i="15"/>
  <c r="M68" i="15"/>
  <c r="F68" i="15"/>
  <c r="P68" i="15"/>
  <c r="H68" i="15"/>
  <c r="G68" i="15"/>
  <c r="D74" i="15"/>
  <c r="H63" i="15"/>
  <c r="I63" i="15"/>
  <c r="M67" i="15"/>
  <c r="E67" i="15"/>
  <c r="F67" i="15"/>
  <c r="D67" i="15"/>
  <c r="F64" i="15"/>
  <c r="D75" i="15"/>
  <c r="D63" i="15"/>
  <c r="E63" i="15"/>
  <c r="F75" i="15"/>
  <c r="G64" i="15"/>
  <c r="I75" i="15"/>
  <c r="E64" i="15"/>
  <c r="H62" i="15"/>
  <c r="M75" i="15"/>
  <c r="I64" i="15"/>
  <c r="P129" i="13"/>
  <c r="O157" i="13"/>
  <c r="P121" i="13"/>
  <c r="O51" i="13"/>
  <c r="P63" i="13"/>
  <c r="O138" i="13"/>
  <c r="P183" i="13"/>
  <c r="E62" i="15"/>
  <c r="M62" i="15"/>
  <c r="O108" i="13"/>
  <c r="I62" i="15"/>
  <c r="P64" i="15"/>
  <c r="M64" i="15"/>
  <c r="D64" i="15"/>
  <c r="P70" i="13"/>
  <c r="O91" i="13"/>
  <c r="P95" i="13"/>
  <c r="P151" i="13"/>
  <c r="O181" i="13"/>
  <c r="O59" i="13"/>
  <c r="P65" i="13"/>
  <c r="O92" i="13"/>
  <c r="O131" i="13"/>
  <c r="D62" i="15"/>
  <c r="P97" i="13"/>
  <c r="P62" i="15"/>
  <c r="P47" i="13"/>
  <c r="P93" i="13"/>
  <c r="P191" i="13"/>
  <c r="P198" i="13"/>
  <c r="G62" i="15"/>
  <c r="P113" i="13"/>
  <c r="P56" i="13"/>
  <c r="P61" i="13"/>
  <c r="O76" i="13"/>
  <c r="O100" i="13"/>
  <c r="P110" i="13"/>
  <c r="O115" i="13"/>
  <c r="O140" i="13"/>
  <c r="O146" i="13"/>
  <c r="O186" i="13"/>
  <c r="O81" i="13"/>
  <c r="O96" i="13"/>
  <c r="O177" i="13"/>
  <c r="P62" i="13"/>
  <c r="O73" i="13"/>
  <c r="P77" i="13"/>
  <c r="O107" i="13"/>
  <c r="O123" i="13"/>
  <c r="O153" i="13"/>
  <c r="P88" i="13"/>
  <c r="O178" i="13"/>
  <c r="P174" i="13"/>
  <c r="O104" i="13"/>
  <c r="O161" i="13"/>
  <c r="O185" i="13"/>
  <c r="P49" i="13"/>
  <c r="P55" i="13"/>
  <c r="O60" i="13"/>
  <c r="O75" i="13"/>
  <c r="P79" i="13"/>
  <c r="P109" i="13"/>
  <c r="P145" i="13"/>
  <c r="P175" i="13"/>
  <c r="P54" i="13"/>
  <c r="P57" i="13"/>
  <c r="P69" i="13"/>
  <c r="P80" i="13"/>
  <c r="O84" i="13"/>
  <c r="O99" i="13"/>
  <c r="P103" i="13"/>
  <c r="P118" i="13"/>
  <c r="P126" i="13"/>
  <c r="P143" i="13"/>
  <c r="O169" i="13"/>
  <c r="O173" i="13"/>
  <c r="P190" i="13"/>
  <c r="O194" i="13"/>
  <c r="P72" i="15"/>
  <c r="E72" i="15"/>
  <c r="I72" i="15"/>
  <c r="M72" i="15"/>
  <c r="D72" i="15"/>
  <c r="H72" i="15"/>
  <c r="G72" i="15"/>
  <c r="O165" i="13"/>
  <c r="P182" i="13"/>
  <c r="P199" i="13"/>
  <c r="D65" i="15"/>
  <c r="E65" i="15"/>
  <c r="P65" i="15"/>
  <c r="M65" i="15"/>
  <c r="I65" i="15"/>
  <c r="H65" i="15"/>
  <c r="F65" i="15"/>
  <c r="D73" i="15"/>
  <c r="I73" i="15"/>
  <c r="H73" i="15"/>
  <c r="F73" i="15"/>
  <c r="E73" i="15"/>
  <c r="P73" i="15"/>
  <c r="M73" i="15"/>
  <c r="O89" i="13"/>
  <c r="O112" i="13"/>
  <c r="O128" i="13"/>
  <c r="O137" i="13"/>
  <c r="O149" i="13"/>
  <c r="P166" i="13"/>
  <c r="O170" i="13"/>
  <c r="G73" i="15"/>
  <c r="M74" i="15"/>
  <c r="F74" i="15"/>
  <c r="P74" i="15"/>
  <c r="I74" i="15"/>
  <c r="G74" i="15"/>
  <c r="O48" i="13"/>
  <c r="O52" i="13"/>
  <c r="O67" i="13"/>
  <c r="P71" i="13"/>
  <c r="P86" i="13"/>
  <c r="P101" i="13"/>
  <c r="O116" i="13"/>
  <c r="O124" i="13"/>
  <c r="O133" i="13"/>
  <c r="O141" i="13"/>
  <c r="P158" i="13"/>
  <c r="O162" i="13"/>
  <c r="O64" i="13"/>
  <c r="O105" i="13"/>
  <c r="P150" i="13"/>
  <c r="O154" i="13"/>
  <c r="P167" i="13"/>
  <c r="O193" i="13"/>
  <c r="O197" i="13"/>
  <c r="P63" i="15"/>
  <c r="F63" i="15"/>
  <c r="P53" i="13"/>
  <c r="O68" i="13"/>
  <c r="O83" i="13"/>
  <c r="P87" i="13"/>
  <c r="P102" i="13"/>
  <c r="P134" i="13"/>
  <c r="P142" i="13"/>
  <c r="P159" i="13"/>
  <c r="G61" i="15"/>
  <c r="P61" i="15"/>
  <c r="F61" i="15"/>
  <c r="M61" i="15"/>
  <c r="E61" i="15"/>
  <c r="D61" i="15"/>
  <c r="I61" i="15"/>
  <c r="H61" i="15"/>
  <c r="G65" i="15"/>
  <c r="P75" i="15"/>
  <c r="H75" i="15"/>
  <c r="G75" i="15"/>
  <c r="P67" i="15"/>
  <c r="H67" i="15"/>
  <c r="G67" i="15"/>
  <c r="O148" i="13"/>
  <c r="O156" i="13"/>
  <c r="O164" i="13"/>
  <c r="O172" i="13"/>
  <c r="O180" i="13"/>
  <c r="O188" i="13"/>
  <c r="O196" i="13"/>
  <c r="O119" i="13"/>
  <c r="O127" i="13"/>
  <c r="O136" i="13"/>
  <c r="O144" i="13"/>
  <c r="O152" i="13"/>
  <c r="O160" i="13"/>
  <c r="O168" i="13"/>
  <c r="O176" i="13"/>
  <c r="O184" i="13"/>
  <c r="O192" i="13"/>
  <c r="O200" i="13"/>
  <c r="O201" i="13"/>
  <c r="O50" i="13"/>
  <c r="O66" i="13"/>
  <c r="O74" i="13"/>
  <c r="O82" i="13"/>
  <c r="O90" i="13"/>
  <c r="O98" i="13"/>
  <c r="O106" i="13"/>
  <c r="O114" i="13"/>
  <c r="O122" i="13"/>
  <c r="O130" i="13"/>
  <c r="O139" i="13"/>
  <c r="O147" i="13"/>
  <c r="O163" i="13"/>
  <c r="O171" i="13"/>
  <c r="O179" i="13"/>
  <c r="O195" i="13"/>
  <c r="O58" i="13"/>
  <c r="L97" i="21"/>
  <c r="L96" i="21"/>
  <c r="L95" i="21"/>
  <c r="L94" i="21"/>
  <c r="L93" i="21"/>
  <c r="L92" i="21"/>
  <c r="L91" i="21"/>
  <c r="L90" i="21"/>
  <c r="L89" i="21"/>
  <c r="L88" i="21"/>
  <c r="L87" i="21"/>
  <c r="L86" i="21"/>
  <c r="L85" i="21"/>
  <c r="L84" i="21"/>
  <c r="L83" i="21"/>
  <c r="L82" i="21"/>
  <c r="L81" i="21"/>
  <c r="L80" i="21"/>
  <c r="L79" i="21"/>
  <c r="L78" i="21"/>
  <c r="L77" i="21"/>
  <c r="L76" i="21"/>
  <c r="L75" i="21"/>
  <c r="L74" i="21"/>
  <c r="L73" i="21"/>
  <c r="L72" i="21"/>
  <c r="L71" i="21"/>
  <c r="L70" i="21"/>
  <c r="L69" i="21"/>
  <c r="L68" i="21"/>
  <c r="L67" i="21"/>
  <c r="L66" i="21"/>
  <c r="L65" i="21"/>
  <c r="L64" i="21"/>
  <c r="L63" i="21"/>
  <c r="L62" i="21"/>
  <c r="L61" i="21"/>
  <c r="L60" i="21"/>
  <c r="Q97" i="21"/>
  <c r="Q95" i="21"/>
  <c r="M94" i="21"/>
  <c r="Q93" i="21"/>
  <c r="Q92" i="21"/>
  <c r="Q91" i="21"/>
  <c r="Q89" i="21"/>
  <c r="Q88" i="21"/>
  <c r="F87" i="21"/>
  <c r="Q84" i="21"/>
  <c r="Q83" i="21"/>
  <c r="Q82" i="21"/>
  <c r="M81" i="21"/>
  <c r="Q80" i="21"/>
  <c r="Q79" i="21"/>
  <c r="Q76" i="21"/>
  <c r="Q74" i="21"/>
  <c r="Q73" i="21"/>
  <c r="M71" i="21"/>
  <c r="H70" i="21"/>
  <c r="E68" i="21"/>
  <c r="Q67" i="21"/>
  <c r="Q66" i="21"/>
  <c r="Q65" i="21"/>
  <c r="Q64" i="21"/>
  <c r="D63" i="21"/>
  <c r="M62" i="21"/>
  <c r="P61" i="21"/>
  <c r="F60" i="21"/>
  <c r="Q62" i="21" l="1"/>
  <c r="Q69" i="21"/>
  <c r="G82" i="21"/>
  <c r="Q77" i="21"/>
  <c r="Q90" i="21"/>
  <c r="D70" i="21"/>
  <c r="Q60" i="21"/>
  <c r="H69" i="21"/>
  <c r="I69" i="21"/>
  <c r="M87" i="21"/>
  <c r="G71" i="21"/>
  <c r="M76" i="21"/>
  <c r="Q87" i="21"/>
  <c r="F79" i="21"/>
  <c r="F70" i="21"/>
  <c r="Q75" i="21"/>
  <c r="E83" i="21"/>
  <c r="Q63" i="21"/>
  <c r="Q85" i="21"/>
  <c r="G75" i="21"/>
  <c r="F75" i="21"/>
  <c r="Q96" i="21"/>
  <c r="Q94" i="21"/>
  <c r="F89" i="21"/>
  <c r="G90" i="21"/>
  <c r="F90" i="21"/>
  <c r="Q81" i="21"/>
  <c r="P68" i="21"/>
  <c r="H68" i="21"/>
  <c r="G68" i="21"/>
  <c r="G61" i="21"/>
  <c r="F61" i="21"/>
  <c r="D61" i="21"/>
  <c r="P62" i="21"/>
  <c r="E62" i="21"/>
  <c r="H62" i="21"/>
  <c r="Q78" i="21"/>
  <c r="G70" i="21"/>
  <c r="P70" i="21"/>
  <c r="E70" i="21"/>
  <c r="I70" i="21"/>
  <c r="Q86" i="21"/>
  <c r="P94" i="21"/>
  <c r="F94" i="21"/>
  <c r="D94" i="21"/>
  <c r="D62" i="21"/>
  <c r="Q68" i="21"/>
  <c r="M70" i="21"/>
  <c r="H90" i="21"/>
  <c r="E94" i="21"/>
  <c r="D71" i="21"/>
  <c r="F71" i="21"/>
  <c r="E71" i="21"/>
  <c r="P71" i="21"/>
  <c r="D87" i="21"/>
  <c r="P87" i="21"/>
  <c r="E87" i="21"/>
  <c r="H87" i="21"/>
  <c r="G87" i="21"/>
  <c r="F62" i="21"/>
  <c r="M64" i="21"/>
  <c r="Q70" i="21"/>
  <c r="G94" i="21"/>
  <c r="I60" i="21"/>
  <c r="H60" i="21"/>
  <c r="G60" i="21"/>
  <c r="Q72" i="21"/>
  <c r="P72" i="21"/>
  <c r="G62" i="21"/>
  <c r="G73" i="21"/>
  <c r="Q61" i="21"/>
  <c r="Q71" i="21"/>
  <c r="H74" i="21"/>
  <c r="F91" i="21"/>
  <c r="D85" i="21"/>
  <c r="E63" i="21"/>
  <c r="D77" i="21"/>
  <c r="F63" i="21"/>
  <c r="D69" i="21"/>
  <c r="E77" i="21"/>
  <c r="M77" i="21"/>
  <c r="E81" i="21"/>
  <c r="F85" i="21"/>
  <c r="P85" i="21"/>
  <c r="D81" i="21"/>
  <c r="E85" i="21"/>
  <c r="M85" i="21"/>
  <c r="G63" i="21"/>
  <c r="M69" i="21"/>
  <c r="G81" i="21"/>
  <c r="G85" i="21"/>
  <c r="E61" i="21"/>
  <c r="M61" i="21"/>
  <c r="H63" i="21"/>
  <c r="D68" i="21"/>
  <c r="M68" i="21"/>
  <c r="F69" i="21"/>
  <c r="P69" i="21"/>
  <c r="G77" i="21"/>
  <c r="H81" i="21"/>
  <c r="H85" i="21"/>
  <c r="P63" i="21"/>
  <c r="E69" i="21"/>
  <c r="F77" i="21"/>
  <c r="P77" i="21"/>
  <c r="D60" i="21"/>
  <c r="G69" i="21"/>
  <c r="D75" i="21"/>
  <c r="M75" i="21"/>
  <c r="H77" i="21"/>
  <c r="P81" i="21"/>
  <c r="F81" i="21"/>
  <c r="M63" i="21"/>
  <c r="M60" i="21"/>
  <c r="D90" i="21"/>
  <c r="M90" i="21"/>
  <c r="E60" i="21"/>
  <c r="P60" i="21"/>
  <c r="F68" i="21"/>
  <c r="E75" i="21"/>
  <c r="P75" i="21"/>
  <c r="E90" i="21"/>
  <c r="P90" i="21"/>
  <c r="Q98" i="18"/>
  <c r="Q97" i="18"/>
  <c r="Q96" i="18"/>
  <c r="Q95" i="18"/>
  <c r="Q94" i="18"/>
  <c r="Q93" i="18"/>
  <c r="Q92" i="18"/>
  <c r="Q91" i="18"/>
  <c r="Q90" i="18"/>
  <c r="Q89" i="18"/>
  <c r="Q88" i="18"/>
  <c r="Q87" i="18"/>
  <c r="Q86" i="18"/>
  <c r="Q85" i="18"/>
  <c r="Q84" i="18"/>
  <c r="Q83" i="18"/>
  <c r="Q82" i="18"/>
  <c r="Q81" i="18"/>
  <c r="Q80" i="18"/>
  <c r="Q79" i="18"/>
  <c r="Q78" i="18"/>
  <c r="Q77" i="18"/>
  <c r="Q76" i="18"/>
  <c r="Q71" i="18"/>
  <c r="Q70" i="18"/>
  <c r="Q69" i="18"/>
  <c r="L69" i="18"/>
  <c r="L95" i="18"/>
  <c r="L94" i="18"/>
  <c r="L93" i="18"/>
  <c r="L92" i="18"/>
  <c r="L91" i="18"/>
  <c r="L90" i="18"/>
  <c r="L89" i="18"/>
  <c r="L88" i="18"/>
  <c r="L87" i="18"/>
  <c r="L86" i="18"/>
  <c r="L85" i="18"/>
  <c r="L84" i="18"/>
  <c r="L83" i="18"/>
  <c r="L82" i="18"/>
  <c r="L81" i="18"/>
  <c r="L80" i="18"/>
  <c r="L79" i="18"/>
  <c r="L78" i="18"/>
  <c r="L77" i="18"/>
  <c r="L76" i="18"/>
  <c r="L75" i="18"/>
  <c r="Q48" i="15"/>
  <c r="Q49" i="15"/>
  <c r="Q50" i="15"/>
  <c r="P95" i="21" l="1"/>
  <c r="H92" i="21"/>
  <c r="G97" i="21"/>
  <c r="M65" i="21"/>
  <c r="D82" i="21"/>
  <c r="D97" i="21"/>
  <c r="H76" i="21"/>
  <c r="F82" i="21"/>
  <c r="M95" i="21"/>
  <c r="G76" i="21"/>
  <c r="P97" i="21"/>
  <c r="E97" i="21"/>
  <c r="M97" i="21"/>
  <c r="F95" i="21"/>
  <c r="F97" i="21"/>
  <c r="D95" i="21"/>
  <c r="D76" i="21"/>
  <c r="M82" i="21"/>
  <c r="E82" i="21"/>
  <c r="P82" i="21"/>
  <c r="H82" i="21"/>
  <c r="M96" i="21"/>
  <c r="P96" i="21"/>
  <c r="F96" i="21"/>
  <c r="P80" i="21"/>
  <c r="P91" i="21"/>
  <c r="P88" i="21"/>
  <c r="P67" i="21"/>
  <c r="D88" i="21"/>
  <c r="F88" i="21"/>
  <c r="E80" i="21"/>
  <c r="D67" i="21"/>
  <c r="P84" i="21"/>
  <c r="M80" i="21"/>
  <c r="M67" i="21"/>
  <c r="F67" i="21"/>
  <c r="D80" i="21"/>
  <c r="E88" i="21"/>
  <c r="G88" i="21"/>
  <c r="M88" i="21"/>
  <c r="F80" i="21"/>
  <c r="G95" i="21"/>
  <c r="D65" i="21"/>
  <c r="M92" i="21"/>
  <c r="M79" i="21"/>
  <c r="F92" i="21"/>
  <c r="D92" i="21"/>
  <c r="G79" i="21"/>
  <c r="Q72" i="18"/>
  <c r="G65" i="21"/>
  <c r="P79" i="21"/>
  <c r="E65" i="21"/>
  <c r="P83" i="21"/>
  <c r="G83" i="21"/>
  <c r="E79" i="21"/>
  <c r="P92" i="21"/>
  <c r="D79" i="21"/>
  <c r="G92" i="21"/>
  <c r="E92" i="21"/>
  <c r="E91" i="21"/>
  <c r="M72" i="21"/>
  <c r="M91" i="21"/>
  <c r="H80" i="21"/>
  <c r="H83" i="21"/>
  <c r="P76" i="21"/>
  <c r="F73" i="21"/>
  <c r="Q75" i="18"/>
  <c r="H84" i="21"/>
  <c r="F72" i="21"/>
  <c r="F76" i="21"/>
  <c r="D91" i="21"/>
  <c r="F84" i="21"/>
  <c r="E76" i="21"/>
  <c r="I73" i="21"/>
  <c r="G84" i="21"/>
  <c r="F83" i="21"/>
  <c r="E95" i="21"/>
  <c r="D72" i="21"/>
  <c r="M83" i="21"/>
  <c r="E84" i="21"/>
  <c r="M84" i="21"/>
  <c r="E67" i="21"/>
  <c r="G67" i="21"/>
  <c r="E72" i="21"/>
  <c r="G80" i="21"/>
  <c r="H65" i="21"/>
  <c r="D83" i="21"/>
  <c r="D84" i="21"/>
  <c r="F65" i="21"/>
  <c r="G91" i="21"/>
  <c r="P65" i="21"/>
  <c r="G96" i="21"/>
  <c r="M73" i="21"/>
  <c r="H91" i="21"/>
  <c r="H72" i="21"/>
  <c r="I72" i="21"/>
  <c r="G72" i="21"/>
  <c r="G89" i="21"/>
  <c r="D89" i="21"/>
  <c r="M89" i="21"/>
  <c r="E89" i="21"/>
  <c r="D73" i="21"/>
  <c r="G74" i="21"/>
  <c r="F74" i="21"/>
  <c r="D74" i="21"/>
  <c r="M74" i="21"/>
  <c r="P74" i="21"/>
  <c r="I74" i="21"/>
  <c r="E74" i="21"/>
  <c r="F93" i="21"/>
  <c r="M93" i="21"/>
  <c r="D93" i="21"/>
  <c r="H93" i="21"/>
  <c r="G93" i="21"/>
  <c r="E93" i="21"/>
  <c r="P93" i="21"/>
  <c r="H64" i="21"/>
  <c r="F64" i="21"/>
  <c r="P64" i="21"/>
  <c r="D64" i="21"/>
  <c r="G64" i="21"/>
  <c r="G86" i="21"/>
  <c r="P86" i="21"/>
  <c r="F86" i="21"/>
  <c r="M86" i="21"/>
  <c r="E86" i="21"/>
  <c r="H86" i="21"/>
  <c r="D86" i="21"/>
  <c r="H73" i="21"/>
  <c r="E73" i="21"/>
  <c r="E96" i="21"/>
  <c r="D96" i="21"/>
  <c r="P73" i="21"/>
  <c r="G66" i="21"/>
  <c r="E66" i="21"/>
  <c r="M66" i="21"/>
  <c r="H66" i="21"/>
  <c r="P66" i="21"/>
  <c r="D66" i="21"/>
  <c r="F66" i="21"/>
  <c r="P89" i="21"/>
  <c r="E64" i="21"/>
  <c r="I78" i="21"/>
  <c r="G78" i="21"/>
  <c r="P78" i="21"/>
  <c r="F78" i="21"/>
  <c r="M78" i="21"/>
  <c r="E78" i="21"/>
  <c r="D78" i="21"/>
  <c r="H78" i="21"/>
  <c r="Q73" i="18"/>
  <c r="Q74" i="18"/>
  <c r="D69" i="18"/>
  <c r="V113" i="4"/>
  <c r="W113" i="4" s="1"/>
  <c r="X113" i="4" s="1"/>
  <c r="V112" i="4"/>
  <c r="W112" i="4" s="1"/>
  <c r="X112" i="4" s="1"/>
  <c r="V111" i="4"/>
  <c r="W111" i="4" s="1"/>
  <c r="X111" i="4" s="1"/>
  <c r="V110" i="4"/>
  <c r="W110" i="4" s="1"/>
  <c r="X110" i="4" s="1"/>
  <c r="V109" i="4"/>
  <c r="W109" i="4" s="1"/>
  <c r="X109" i="4" s="1"/>
  <c r="V108" i="4"/>
  <c r="W108" i="4" s="1"/>
  <c r="X108" i="4" s="1"/>
  <c r="V107" i="4"/>
  <c r="W107" i="4" s="1"/>
  <c r="X107" i="4" s="1"/>
  <c r="V106" i="4"/>
  <c r="W106" i="4" s="1"/>
  <c r="X106" i="4" s="1"/>
  <c r="V105" i="4"/>
  <c r="W105" i="4" s="1"/>
  <c r="X105" i="4" s="1"/>
  <c r="V104" i="4"/>
  <c r="W104" i="4" s="1"/>
  <c r="X104" i="4" s="1"/>
  <c r="V103" i="4"/>
  <c r="W103" i="4" s="1"/>
  <c r="X103" i="4" s="1"/>
  <c r="V102" i="4"/>
  <c r="W102" i="4" s="1"/>
  <c r="X102" i="4" s="1"/>
  <c r="V101" i="4"/>
  <c r="W101" i="4" s="1"/>
  <c r="X101" i="4" s="1"/>
  <c r="V100" i="4"/>
  <c r="W100" i="4" s="1"/>
  <c r="X100" i="4" s="1"/>
  <c r="V99" i="4"/>
  <c r="W99" i="4" s="1"/>
  <c r="X99" i="4" s="1"/>
  <c r="V98" i="4"/>
  <c r="W98" i="4" s="1"/>
  <c r="X98" i="4" s="1"/>
  <c r="V97" i="4"/>
  <c r="W97" i="4" s="1"/>
  <c r="X97" i="4" s="1"/>
  <c r="V96" i="4"/>
  <c r="W96" i="4" s="1"/>
  <c r="X96" i="4" s="1"/>
  <c r="V95" i="4"/>
  <c r="W95" i="4" s="1"/>
  <c r="X95" i="4" s="1"/>
  <c r="V94" i="4"/>
  <c r="W94" i="4" s="1"/>
  <c r="X94" i="4" s="1"/>
  <c r="V93" i="4"/>
  <c r="W93" i="4" s="1"/>
  <c r="X93" i="4" s="1"/>
  <c r="V92" i="4"/>
  <c r="W92" i="4" s="1"/>
  <c r="X92" i="4" s="1"/>
  <c r="V91" i="4"/>
  <c r="W91" i="4" s="1"/>
  <c r="X91" i="4" s="1"/>
  <c r="V90" i="4"/>
  <c r="W90" i="4" s="1"/>
  <c r="X90" i="4" s="1"/>
  <c r="V88" i="4"/>
  <c r="W88" i="4" s="1"/>
  <c r="X88" i="4" s="1"/>
  <c r="V87" i="4"/>
  <c r="W87" i="4" s="1"/>
  <c r="X87" i="4" s="1"/>
  <c r="V86" i="4"/>
  <c r="W86" i="4" s="1"/>
  <c r="X86" i="4" s="1"/>
  <c r="V85" i="4"/>
  <c r="W85" i="4" s="1"/>
  <c r="X85" i="4" s="1"/>
  <c r="V84" i="4"/>
  <c r="W84" i="4" s="1"/>
  <c r="X84" i="4" s="1"/>
  <c r="V83" i="4"/>
  <c r="W83" i="4" s="1"/>
  <c r="X83" i="4" s="1"/>
  <c r="V82" i="4"/>
  <c r="W82" i="4" s="1"/>
  <c r="X82" i="4" s="1"/>
  <c r="V81" i="4"/>
  <c r="W81" i="4" s="1"/>
  <c r="X81" i="4" s="1"/>
  <c r="V80" i="4"/>
  <c r="W80" i="4" s="1"/>
  <c r="X80" i="4" s="1"/>
  <c r="V79" i="4"/>
  <c r="W79" i="4" s="1"/>
  <c r="X79" i="4" s="1"/>
  <c r="V78" i="4"/>
  <c r="W78" i="4" s="1"/>
  <c r="X78" i="4" s="1"/>
  <c r="V77" i="4"/>
  <c r="W77" i="4" s="1"/>
  <c r="X77" i="4" s="1"/>
  <c r="V76" i="4"/>
  <c r="W76" i="4" s="1"/>
  <c r="X76" i="4" s="1"/>
  <c r="V75" i="4"/>
  <c r="W75" i="4" s="1"/>
  <c r="X75" i="4" s="1"/>
  <c r="V74" i="4"/>
  <c r="W74" i="4" s="1"/>
  <c r="X74" i="4" s="1"/>
  <c r="V73" i="4"/>
  <c r="W73" i="4" s="1"/>
  <c r="X73" i="4" s="1"/>
  <c r="V72" i="4"/>
  <c r="W72" i="4" s="1"/>
  <c r="X72" i="4" s="1"/>
  <c r="V71" i="4"/>
  <c r="W71" i="4" s="1"/>
  <c r="X71" i="4" s="1"/>
  <c r="V70" i="4"/>
  <c r="W70" i="4" s="1"/>
  <c r="X70" i="4" s="1"/>
  <c r="V69" i="4"/>
  <c r="W69" i="4" s="1"/>
  <c r="X69" i="4" s="1"/>
  <c r="V68" i="4"/>
  <c r="W68" i="4" s="1"/>
  <c r="X68" i="4" s="1"/>
  <c r="V67" i="4"/>
  <c r="W67" i="4" s="1"/>
  <c r="X67" i="4" s="1"/>
  <c r="V66" i="4"/>
  <c r="W66" i="4" s="1"/>
  <c r="X66" i="4" s="1"/>
  <c r="V65" i="4"/>
  <c r="W65" i="4" s="1"/>
  <c r="X65" i="4" s="1"/>
  <c r="V63" i="4"/>
  <c r="W63" i="4" s="1"/>
  <c r="X63" i="4" s="1"/>
  <c r="V62" i="4"/>
  <c r="W62" i="4" s="1"/>
  <c r="X62" i="4" s="1"/>
  <c r="V61" i="4"/>
  <c r="W61" i="4" s="1"/>
  <c r="X61" i="4" s="1"/>
  <c r="V60" i="4"/>
  <c r="W60" i="4" s="1"/>
  <c r="X60" i="4" s="1"/>
  <c r="V59" i="4"/>
  <c r="W59" i="4" s="1"/>
  <c r="X59" i="4" s="1"/>
  <c r="V58" i="4"/>
  <c r="W58" i="4" s="1"/>
  <c r="X58" i="4" s="1"/>
  <c r="V57" i="4"/>
  <c r="W57" i="4" s="1"/>
  <c r="X57" i="4" s="1"/>
  <c r="V56" i="4"/>
  <c r="W56" i="4" s="1"/>
  <c r="X56" i="4" s="1"/>
  <c r="V55" i="4"/>
  <c r="W55" i="4" s="1"/>
  <c r="X55" i="4" s="1"/>
  <c r="V54" i="4"/>
  <c r="W54" i="4" s="1"/>
  <c r="X54" i="4" s="1"/>
  <c r="V53" i="4"/>
  <c r="W53" i="4" s="1"/>
  <c r="X53" i="4" s="1"/>
  <c r="V52" i="4"/>
  <c r="W52" i="4" s="1"/>
  <c r="X52" i="4" s="1"/>
  <c r="V51" i="4"/>
  <c r="W51" i="4" s="1"/>
  <c r="X51" i="4" s="1"/>
  <c r="V50" i="4"/>
  <c r="W50" i="4" s="1"/>
  <c r="X50" i="4" s="1"/>
  <c r="V49" i="4"/>
  <c r="W49" i="4" s="1"/>
  <c r="X49" i="4" s="1"/>
  <c r="V48" i="4"/>
  <c r="W48" i="4" s="1"/>
  <c r="X48" i="4" s="1"/>
  <c r="V47" i="4"/>
  <c r="W47" i="4" s="1"/>
  <c r="X47" i="4" s="1"/>
  <c r="V46" i="4"/>
  <c r="W46" i="4" s="1"/>
  <c r="X46" i="4" s="1"/>
  <c r="V45" i="4"/>
  <c r="W45" i="4" s="1"/>
  <c r="X45" i="4" s="1"/>
  <c r="V44" i="4"/>
  <c r="W44" i="4" s="1"/>
  <c r="X44" i="4" s="1"/>
  <c r="V43" i="4"/>
  <c r="W43" i="4" s="1"/>
  <c r="X43" i="4" s="1"/>
  <c r="V42" i="4"/>
  <c r="W42" i="4" s="1"/>
  <c r="X42" i="4" s="1"/>
  <c r="V41" i="4"/>
  <c r="W41" i="4" s="1"/>
  <c r="X41" i="4" s="1"/>
  <c r="V40" i="4"/>
  <c r="W40" i="4" s="1"/>
  <c r="X40" i="4" s="1"/>
  <c r="V38" i="4"/>
  <c r="W38" i="4" s="1"/>
  <c r="X38" i="4" s="1"/>
  <c r="V37" i="4"/>
  <c r="W37" i="4" s="1"/>
  <c r="X37" i="4" s="1"/>
  <c r="V36" i="4"/>
  <c r="W36" i="4" s="1"/>
  <c r="X36" i="4" s="1"/>
  <c r="V35" i="4"/>
  <c r="W35" i="4" s="1"/>
  <c r="X35" i="4" s="1"/>
  <c r="V34" i="4"/>
  <c r="W34" i="4" s="1"/>
  <c r="X34" i="4" s="1"/>
  <c r="V33" i="4"/>
  <c r="W33" i="4" s="1"/>
  <c r="X33" i="4" s="1"/>
  <c r="V32" i="4"/>
  <c r="W32" i="4" s="1"/>
  <c r="X32" i="4" s="1"/>
  <c r="V31" i="4"/>
  <c r="W31" i="4" s="1"/>
  <c r="X31" i="4" s="1"/>
  <c r="V30" i="4"/>
  <c r="W30" i="4" s="1"/>
  <c r="X30" i="4" s="1"/>
  <c r="V29" i="4"/>
  <c r="W29" i="4" s="1"/>
  <c r="X29" i="4" s="1"/>
  <c r="V28" i="4"/>
  <c r="W28" i="4" s="1"/>
  <c r="X28" i="4" s="1"/>
  <c r="V27" i="4"/>
  <c r="W27" i="4" s="1"/>
  <c r="X27" i="4" s="1"/>
  <c r="V26" i="4"/>
  <c r="W26" i="4" s="1"/>
  <c r="X26" i="4" s="1"/>
  <c r="V25" i="4"/>
  <c r="W25" i="4" s="1"/>
  <c r="X25" i="4" s="1"/>
  <c r="V24" i="4"/>
  <c r="W24" i="4" s="1"/>
  <c r="X24" i="4" s="1"/>
  <c r="V23" i="4"/>
  <c r="W23" i="4" s="1"/>
  <c r="X23" i="4" s="1"/>
  <c r="V22" i="4"/>
  <c r="W22" i="4" s="1"/>
  <c r="X22" i="4" s="1"/>
  <c r="V21" i="4"/>
  <c r="W21" i="4" s="1"/>
  <c r="X21" i="4" s="1"/>
  <c r="V20" i="4"/>
  <c r="W20" i="4" s="1"/>
  <c r="X20" i="4" s="1"/>
  <c r="V19" i="4"/>
  <c r="W19" i="4" s="1"/>
  <c r="X19" i="4" s="1"/>
  <c r="V18" i="4"/>
  <c r="W18" i="4" s="1"/>
  <c r="X18" i="4" s="1"/>
  <c r="V17" i="4"/>
  <c r="W17" i="4" s="1"/>
  <c r="X17" i="4" s="1"/>
  <c r="V16" i="4"/>
  <c r="W16" i="4" s="1"/>
  <c r="X16" i="4" s="1"/>
  <c r="V15" i="4"/>
  <c r="W15" i="4" s="1"/>
  <c r="X15" i="4" s="1"/>
  <c r="R165" i="4"/>
  <c r="S165" i="4" s="1"/>
  <c r="T165" i="4" s="1"/>
  <c r="R164" i="4"/>
  <c r="S164" i="4" s="1"/>
  <c r="T164" i="4" s="1"/>
  <c r="R163" i="4"/>
  <c r="S163" i="4" s="1"/>
  <c r="T163" i="4" s="1"/>
  <c r="R162" i="4"/>
  <c r="S162" i="4" s="1"/>
  <c r="T162" i="4" s="1"/>
  <c r="R161" i="4"/>
  <c r="S161" i="4" s="1"/>
  <c r="T161" i="4" s="1"/>
  <c r="R160" i="4"/>
  <c r="S160" i="4" s="1"/>
  <c r="T160" i="4" s="1"/>
  <c r="R159" i="4"/>
  <c r="S159" i="4" s="1"/>
  <c r="T159" i="4" s="1"/>
  <c r="R158" i="4"/>
  <c r="S158" i="4" s="1"/>
  <c r="T158" i="4" s="1"/>
  <c r="R157" i="4"/>
  <c r="S157" i="4" s="1"/>
  <c r="T157" i="4" s="1"/>
  <c r="R156" i="4"/>
  <c r="S156" i="4" s="1"/>
  <c r="T156" i="4" s="1"/>
  <c r="R155" i="4"/>
  <c r="S155" i="4" s="1"/>
  <c r="T155" i="4" s="1"/>
  <c r="R154" i="4"/>
  <c r="S154" i="4" s="1"/>
  <c r="T154" i="4" s="1"/>
  <c r="R153" i="4"/>
  <c r="S153" i="4" s="1"/>
  <c r="T153" i="4" s="1"/>
  <c r="R152" i="4"/>
  <c r="S152" i="4" s="1"/>
  <c r="T152" i="4" s="1"/>
  <c r="R151" i="4"/>
  <c r="S151" i="4" s="1"/>
  <c r="T151" i="4" s="1"/>
  <c r="R150" i="4"/>
  <c r="S150" i="4" s="1"/>
  <c r="T150" i="4" s="1"/>
  <c r="R149" i="4"/>
  <c r="S149" i="4" s="1"/>
  <c r="T149" i="4" s="1"/>
  <c r="R148" i="4"/>
  <c r="S148" i="4" s="1"/>
  <c r="T148" i="4" s="1"/>
  <c r="R147" i="4"/>
  <c r="S147" i="4" s="1"/>
  <c r="T147" i="4" s="1"/>
  <c r="R146" i="4"/>
  <c r="S146" i="4" s="1"/>
  <c r="T146" i="4" s="1"/>
  <c r="R145" i="4"/>
  <c r="S145" i="4" s="1"/>
  <c r="T145" i="4" s="1"/>
  <c r="R144" i="4"/>
  <c r="S144" i="4" s="1"/>
  <c r="T144" i="4" s="1"/>
  <c r="R143" i="4"/>
  <c r="S143" i="4" s="1"/>
  <c r="T143" i="4" s="1"/>
  <c r="R142" i="4"/>
  <c r="S142" i="4" s="1"/>
  <c r="T142" i="4" s="1"/>
  <c r="R141" i="4"/>
  <c r="S141" i="4" s="1"/>
  <c r="T141" i="4" s="1"/>
  <c r="R140" i="4"/>
  <c r="S140" i="4" s="1"/>
  <c r="T140" i="4" s="1"/>
  <c r="R139" i="4"/>
  <c r="S139" i="4" s="1"/>
  <c r="T139" i="4" s="1"/>
  <c r="R138" i="4"/>
  <c r="S138" i="4" s="1"/>
  <c r="T138" i="4" s="1"/>
  <c r="R137" i="4"/>
  <c r="S137" i="4" s="1"/>
  <c r="T137" i="4" s="1"/>
  <c r="R136" i="4"/>
  <c r="S136" i="4" s="1"/>
  <c r="T136" i="4" s="1"/>
  <c r="R135" i="4"/>
  <c r="S135" i="4" s="1"/>
  <c r="T135" i="4" s="1"/>
  <c r="R134" i="4"/>
  <c r="S134" i="4" s="1"/>
  <c r="T134" i="4" s="1"/>
  <c r="R133" i="4"/>
  <c r="S133" i="4" s="1"/>
  <c r="T133" i="4" s="1"/>
  <c r="R132" i="4"/>
  <c r="S132" i="4" s="1"/>
  <c r="T132" i="4" s="1"/>
  <c r="R131" i="4"/>
  <c r="S131" i="4" s="1"/>
  <c r="T131" i="4" s="1"/>
  <c r="R130" i="4"/>
  <c r="S130" i="4" s="1"/>
  <c r="T130" i="4" s="1"/>
  <c r="R129" i="4"/>
  <c r="S129" i="4" s="1"/>
  <c r="T129" i="4" s="1"/>
  <c r="R128" i="4"/>
  <c r="S128" i="4" s="1"/>
  <c r="T128" i="4" s="1"/>
  <c r="R127" i="4"/>
  <c r="S127" i="4" s="1"/>
  <c r="T127" i="4" s="1"/>
  <c r="R126" i="4"/>
  <c r="S126" i="4" s="1"/>
  <c r="T126" i="4" s="1"/>
  <c r="R125" i="4"/>
  <c r="S125" i="4" s="1"/>
  <c r="T125" i="4" s="1"/>
  <c r="R124" i="4"/>
  <c r="S124" i="4" s="1"/>
  <c r="T124" i="4" s="1"/>
  <c r="R123" i="4"/>
  <c r="S123" i="4" s="1"/>
  <c r="T123" i="4" s="1"/>
  <c r="R122" i="4"/>
  <c r="S122" i="4" s="1"/>
  <c r="T122" i="4" s="1"/>
  <c r="R121" i="4"/>
  <c r="S121" i="4" s="1"/>
  <c r="T121" i="4" s="1"/>
  <c r="R120" i="4"/>
  <c r="S120" i="4" s="1"/>
  <c r="T120" i="4" s="1"/>
  <c r="R119" i="4"/>
  <c r="S119" i="4" s="1"/>
  <c r="T119" i="4" s="1"/>
  <c r="R118" i="4"/>
  <c r="S118" i="4" s="1"/>
  <c r="T118" i="4" s="1"/>
  <c r="R117" i="4"/>
  <c r="S117" i="4" s="1"/>
  <c r="T117" i="4" s="1"/>
  <c r="R116" i="4"/>
  <c r="S116" i="4" s="1"/>
  <c r="T116" i="4" s="1"/>
  <c r="R115" i="4"/>
  <c r="S115" i="4" s="1"/>
  <c r="T115" i="4" s="1"/>
  <c r="R114" i="4"/>
  <c r="S114" i="4" s="1"/>
  <c r="T114" i="4" s="1"/>
  <c r="R113" i="4"/>
  <c r="S113" i="4" s="1"/>
  <c r="T113" i="4" s="1"/>
  <c r="R112" i="4"/>
  <c r="S112" i="4" s="1"/>
  <c r="T112" i="4" s="1"/>
  <c r="R111" i="4"/>
  <c r="S111" i="4" s="1"/>
  <c r="T111" i="4" s="1"/>
  <c r="R110" i="4"/>
  <c r="S110" i="4" s="1"/>
  <c r="T110" i="4" s="1"/>
  <c r="R109" i="4"/>
  <c r="S109" i="4" s="1"/>
  <c r="T109" i="4" s="1"/>
  <c r="R108" i="4"/>
  <c r="S108" i="4" s="1"/>
  <c r="T108" i="4" s="1"/>
  <c r="R107" i="4"/>
  <c r="S107" i="4" s="1"/>
  <c r="T107" i="4" s="1"/>
  <c r="R106" i="4"/>
  <c r="S106" i="4" s="1"/>
  <c r="T106" i="4" s="1"/>
  <c r="R105" i="4"/>
  <c r="S105" i="4" s="1"/>
  <c r="T105" i="4" s="1"/>
  <c r="R104" i="4"/>
  <c r="S104" i="4" s="1"/>
  <c r="T104" i="4" s="1"/>
  <c r="R103" i="4"/>
  <c r="S103" i="4" s="1"/>
  <c r="T103" i="4" s="1"/>
  <c r="R102" i="4"/>
  <c r="S102" i="4" s="1"/>
  <c r="T102" i="4" s="1"/>
  <c r="R101" i="4"/>
  <c r="S101" i="4" s="1"/>
  <c r="T101" i="4" s="1"/>
  <c r="R100" i="4"/>
  <c r="S100" i="4" s="1"/>
  <c r="T100" i="4" s="1"/>
  <c r="R99" i="4"/>
  <c r="S99" i="4" s="1"/>
  <c r="T99" i="4" s="1"/>
  <c r="R98" i="4"/>
  <c r="S98" i="4" s="1"/>
  <c r="T98" i="4" s="1"/>
  <c r="R97" i="4"/>
  <c r="S97" i="4" s="1"/>
  <c r="T97" i="4" s="1"/>
  <c r="R96" i="4"/>
  <c r="S96" i="4" s="1"/>
  <c r="T96" i="4" s="1"/>
  <c r="R95" i="4"/>
  <c r="S95" i="4" s="1"/>
  <c r="T95" i="4" s="1"/>
  <c r="R94" i="4"/>
  <c r="S94" i="4" s="1"/>
  <c r="T94" i="4" s="1"/>
  <c r="R93" i="4"/>
  <c r="S93" i="4" s="1"/>
  <c r="T93" i="4" s="1"/>
  <c r="R92" i="4"/>
  <c r="S92" i="4" s="1"/>
  <c r="T92" i="4" s="1"/>
  <c r="R91" i="4"/>
  <c r="S91" i="4" s="1"/>
  <c r="T91" i="4" s="1"/>
  <c r="R90" i="4"/>
  <c r="S90" i="4" s="1"/>
  <c r="T90" i="4" s="1"/>
  <c r="R89" i="4"/>
  <c r="S89" i="4" s="1"/>
  <c r="T89" i="4" s="1"/>
  <c r="R88" i="4"/>
  <c r="S88" i="4" s="1"/>
  <c r="T88" i="4" s="1"/>
  <c r="R87" i="4"/>
  <c r="S87" i="4" s="1"/>
  <c r="T87" i="4" s="1"/>
  <c r="R86" i="4"/>
  <c r="S86" i="4" s="1"/>
  <c r="T86" i="4" s="1"/>
  <c r="R85" i="4"/>
  <c r="S85" i="4" s="1"/>
  <c r="T85" i="4" s="1"/>
  <c r="R84" i="4"/>
  <c r="S84" i="4" s="1"/>
  <c r="T84" i="4" s="1"/>
  <c r="R83" i="4"/>
  <c r="S83" i="4" s="1"/>
  <c r="T83" i="4" s="1"/>
  <c r="R82" i="4"/>
  <c r="S82" i="4" s="1"/>
  <c r="T82" i="4" s="1"/>
  <c r="R81" i="4"/>
  <c r="S81" i="4" s="1"/>
  <c r="T81" i="4" s="1"/>
  <c r="R80" i="4"/>
  <c r="S80" i="4" s="1"/>
  <c r="T80" i="4" s="1"/>
  <c r="R79" i="4"/>
  <c r="S79" i="4" s="1"/>
  <c r="T79" i="4" s="1"/>
  <c r="R78" i="4"/>
  <c r="S78" i="4" s="1"/>
  <c r="T78" i="4" s="1"/>
  <c r="R77" i="4"/>
  <c r="S77" i="4" s="1"/>
  <c r="T77" i="4" s="1"/>
  <c r="R76" i="4"/>
  <c r="S76" i="4" s="1"/>
  <c r="T76" i="4" s="1"/>
  <c r="R75" i="4"/>
  <c r="S75" i="4" s="1"/>
  <c r="T75" i="4" s="1"/>
  <c r="R74" i="4"/>
  <c r="S74" i="4" s="1"/>
  <c r="T74" i="4" s="1"/>
  <c r="R73" i="4"/>
  <c r="S73" i="4" s="1"/>
  <c r="T73" i="4" s="1"/>
  <c r="R72" i="4"/>
  <c r="S72" i="4" s="1"/>
  <c r="T72" i="4" s="1"/>
  <c r="R71" i="4"/>
  <c r="S71" i="4" s="1"/>
  <c r="T71" i="4" s="1"/>
  <c r="R70" i="4"/>
  <c r="S70" i="4" s="1"/>
  <c r="T70" i="4" s="1"/>
  <c r="R69" i="4"/>
  <c r="S69" i="4" s="1"/>
  <c r="T69" i="4" s="1"/>
  <c r="R68" i="4"/>
  <c r="S68" i="4" s="1"/>
  <c r="T68" i="4" s="1"/>
  <c r="R67" i="4"/>
  <c r="S67" i="4" s="1"/>
  <c r="T67" i="4" s="1"/>
  <c r="R66" i="4"/>
  <c r="S66" i="4" s="1"/>
  <c r="T66" i="4" s="1"/>
  <c r="R65" i="4"/>
  <c r="S65" i="4" s="1"/>
  <c r="T65" i="4" s="1"/>
  <c r="R64" i="4"/>
  <c r="S64" i="4" s="1"/>
  <c r="T64" i="4" s="1"/>
  <c r="R63" i="4"/>
  <c r="S63" i="4" s="1"/>
  <c r="T63" i="4" s="1"/>
  <c r="R62" i="4"/>
  <c r="S62" i="4" s="1"/>
  <c r="T62" i="4" s="1"/>
  <c r="R61" i="4"/>
  <c r="S61" i="4" s="1"/>
  <c r="T61" i="4" s="1"/>
  <c r="R60" i="4"/>
  <c r="S60" i="4" s="1"/>
  <c r="T60" i="4" s="1"/>
  <c r="R59" i="4"/>
  <c r="S59" i="4" s="1"/>
  <c r="T59" i="4" s="1"/>
  <c r="R58" i="4"/>
  <c r="S58" i="4" s="1"/>
  <c r="T58" i="4" s="1"/>
  <c r="R57" i="4"/>
  <c r="S57" i="4" s="1"/>
  <c r="T57" i="4" s="1"/>
  <c r="R56" i="4"/>
  <c r="S56" i="4" s="1"/>
  <c r="T56" i="4" s="1"/>
  <c r="R55" i="4"/>
  <c r="S55" i="4" s="1"/>
  <c r="T55" i="4" s="1"/>
  <c r="R54" i="4"/>
  <c r="S54" i="4" s="1"/>
  <c r="T54" i="4" s="1"/>
  <c r="R53" i="4"/>
  <c r="S53" i="4" s="1"/>
  <c r="T53" i="4" s="1"/>
  <c r="R52" i="4"/>
  <c r="S52" i="4" s="1"/>
  <c r="T52" i="4" s="1"/>
  <c r="R51" i="4"/>
  <c r="S51" i="4" s="1"/>
  <c r="T51" i="4" s="1"/>
  <c r="R50" i="4"/>
  <c r="S50" i="4" s="1"/>
  <c r="T50" i="4" s="1"/>
  <c r="R49" i="4"/>
  <c r="S49" i="4" s="1"/>
  <c r="T49" i="4" s="1"/>
  <c r="R48" i="4"/>
  <c r="S48" i="4" s="1"/>
  <c r="T48" i="4" s="1"/>
  <c r="R47" i="4"/>
  <c r="S47" i="4" s="1"/>
  <c r="T47" i="4" s="1"/>
  <c r="R46" i="4"/>
  <c r="S46" i="4" s="1"/>
  <c r="T46" i="4" s="1"/>
  <c r="R45" i="4"/>
  <c r="S45" i="4" s="1"/>
  <c r="T45" i="4" s="1"/>
  <c r="R44" i="4"/>
  <c r="S44" i="4" s="1"/>
  <c r="T44" i="4" s="1"/>
  <c r="R43" i="4"/>
  <c r="S43" i="4" s="1"/>
  <c r="T43" i="4" s="1"/>
  <c r="R42" i="4"/>
  <c r="S42" i="4" s="1"/>
  <c r="T42" i="4" s="1"/>
  <c r="R41" i="4"/>
  <c r="S41" i="4" s="1"/>
  <c r="T41" i="4" s="1"/>
  <c r="R40" i="4"/>
  <c r="S40" i="4" s="1"/>
  <c r="T40" i="4" s="1"/>
  <c r="R38" i="4"/>
  <c r="S38" i="4" s="1"/>
  <c r="T38" i="4" s="1"/>
  <c r="R37" i="4"/>
  <c r="S37" i="4" s="1"/>
  <c r="T37" i="4" s="1"/>
  <c r="R36" i="4"/>
  <c r="S36" i="4" s="1"/>
  <c r="T36" i="4" s="1"/>
  <c r="R35" i="4"/>
  <c r="S35" i="4" s="1"/>
  <c r="T35" i="4" s="1"/>
  <c r="R34" i="4"/>
  <c r="S34" i="4" s="1"/>
  <c r="T34" i="4" s="1"/>
  <c r="R33" i="4"/>
  <c r="S33" i="4" s="1"/>
  <c r="T33" i="4" s="1"/>
  <c r="R32" i="4"/>
  <c r="S32" i="4" s="1"/>
  <c r="T32" i="4" s="1"/>
  <c r="R31" i="4"/>
  <c r="S31" i="4" s="1"/>
  <c r="T31" i="4" s="1"/>
  <c r="R30" i="4"/>
  <c r="S30" i="4" s="1"/>
  <c r="T30" i="4" s="1"/>
  <c r="R29" i="4"/>
  <c r="S29" i="4" s="1"/>
  <c r="T29" i="4" s="1"/>
  <c r="R28" i="4"/>
  <c r="S28" i="4" s="1"/>
  <c r="T28" i="4" s="1"/>
  <c r="R27" i="4"/>
  <c r="S27" i="4" s="1"/>
  <c r="T27" i="4" s="1"/>
  <c r="R26" i="4"/>
  <c r="S26" i="4" s="1"/>
  <c r="T26" i="4" s="1"/>
  <c r="R25" i="4"/>
  <c r="S25" i="4" s="1"/>
  <c r="T25" i="4" s="1"/>
  <c r="R24" i="4"/>
  <c r="S24" i="4" s="1"/>
  <c r="T24" i="4" s="1"/>
  <c r="R23" i="4"/>
  <c r="S23" i="4" s="1"/>
  <c r="T23" i="4" s="1"/>
  <c r="R22" i="4"/>
  <c r="S22" i="4" s="1"/>
  <c r="T22" i="4" s="1"/>
  <c r="R21" i="4"/>
  <c r="S21" i="4" s="1"/>
  <c r="T21" i="4" s="1"/>
  <c r="R20" i="4"/>
  <c r="S20" i="4" s="1"/>
  <c r="T20" i="4" s="1"/>
  <c r="R19" i="4"/>
  <c r="S19" i="4" s="1"/>
  <c r="T19" i="4" s="1"/>
  <c r="R18" i="4"/>
  <c r="S18" i="4" s="1"/>
  <c r="T18" i="4" s="1"/>
  <c r="R17" i="4"/>
  <c r="S17" i="4" s="1"/>
  <c r="T17" i="4" s="1"/>
  <c r="R16" i="4"/>
  <c r="S16" i="4" s="1"/>
  <c r="T16" i="4" s="1"/>
  <c r="R15" i="4"/>
  <c r="S15" i="4" s="1"/>
  <c r="T15" i="4" s="1"/>
  <c r="M113" i="4"/>
  <c r="N113" i="4" s="1"/>
  <c r="M112" i="4"/>
  <c r="N112" i="4" s="1"/>
  <c r="M111" i="4"/>
  <c r="N111" i="4" s="1"/>
  <c r="M110" i="4"/>
  <c r="N110" i="4" s="1"/>
  <c r="M109" i="4"/>
  <c r="N109" i="4" s="1"/>
  <c r="M108" i="4"/>
  <c r="N108" i="4" s="1"/>
  <c r="M107" i="4"/>
  <c r="N107" i="4" s="1"/>
  <c r="M106" i="4"/>
  <c r="N106" i="4" s="1"/>
  <c r="M105" i="4"/>
  <c r="N105" i="4" s="1"/>
  <c r="M104" i="4"/>
  <c r="N104" i="4" s="1"/>
  <c r="M103" i="4"/>
  <c r="N103" i="4" s="1"/>
  <c r="M102" i="4"/>
  <c r="N102" i="4" s="1"/>
  <c r="M101" i="4"/>
  <c r="N101" i="4" s="1"/>
  <c r="M100" i="4"/>
  <c r="N100" i="4" s="1"/>
  <c r="M99" i="4"/>
  <c r="N99" i="4" s="1"/>
  <c r="M98" i="4"/>
  <c r="N98" i="4" s="1"/>
  <c r="M97" i="4"/>
  <c r="N97" i="4" s="1"/>
  <c r="M96" i="4"/>
  <c r="N96" i="4" s="1"/>
  <c r="M95" i="4"/>
  <c r="N95" i="4" s="1"/>
  <c r="M94" i="4"/>
  <c r="N94" i="4" s="1"/>
  <c r="M93" i="4"/>
  <c r="N93" i="4" s="1"/>
  <c r="M92" i="4"/>
  <c r="N92" i="4" s="1"/>
  <c r="M91" i="4"/>
  <c r="N91" i="4" s="1"/>
  <c r="M90" i="4"/>
  <c r="N90" i="4" s="1"/>
  <c r="M89" i="4"/>
  <c r="N89" i="4" s="1"/>
  <c r="M88" i="4"/>
  <c r="N88" i="4" s="1"/>
  <c r="M87" i="4"/>
  <c r="N87" i="4" s="1"/>
  <c r="M86" i="4"/>
  <c r="N86" i="4" s="1"/>
  <c r="M85" i="4"/>
  <c r="N85" i="4" s="1"/>
  <c r="M84" i="4"/>
  <c r="N84" i="4" s="1"/>
  <c r="M83" i="4"/>
  <c r="N83" i="4" s="1"/>
  <c r="M82" i="4"/>
  <c r="N82" i="4" s="1"/>
  <c r="M81" i="4"/>
  <c r="N81" i="4" s="1"/>
  <c r="M80" i="4"/>
  <c r="N80" i="4" s="1"/>
  <c r="M79" i="4"/>
  <c r="N79" i="4" s="1"/>
  <c r="M78" i="4"/>
  <c r="N78" i="4" s="1"/>
  <c r="M77" i="4"/>
  <c r="N77" i="4" s="1"/>
  <c r="M76" i="4"/>
  <c r="N76" i="4" s="1"/>
  <c r="M75" i="4"/>
  <c r="N75" i="4" s="1"/>
  <c r="M74" i="4"/>
  <c r="N74" i="4" s="1"/>
  <c r="M73" i="4"/>
  <c r="N73" i="4" s="1"/>
  <c r="M72" i="4"/>
  <c r="N72" i="4" s="1"/>
  <c r="M71" i="4"/>
  <c r="N71" i="4" s="1"/>
  <c r="M70" i="4"/>
  <c r="N70" i="4" s="1"/>
  <c r="M69" i="4"/>
  <c r="N69" i="4" s="1"/>
  <c r="M68" i="4"/>
  <c r="N68" i="4" s="1"/>
  <c r="M67" i="4"/>
  <c r="N67" i="4" s="1"/>
  <c r="M66" i="4"/>
  <c r="N66" i="4" s="1"/>
  <c r="M65" i="4"/>
  <c r="N65" i="4" s="1"/>
  <c r="M64" i="4"/>
  <c r="N64" i="4" s="1"/>
  <c r="M63" i="4"/>
  <c r="N63" i="4" s="1"/>
  <c r="M62" i="4"/>
  <c r="N62" i="4" s="1"/>
  <c r="M61" i="4"/>
  <c r="N61" i="4" s="1"/>
  <c r="M60" i="4"/>
  <c r="N60" i="4" s="1"/>
  <c r="M59" i="4"/>
  <c r="N59" i="4" s="1"/>
  <c r="M58" i="4"/>
  <c r="N58" i="4" s="1"/>
  <c r="M57" i="4"/>
  <c r="N57" i="4" s="1"/>
  <c r="M56" i="4"/>
  <c r="N56" i="4" s="1"/>
  <c r="M55" i="4"/>
  <c r="N55" i="4" s="1"/>
  <c r="M54" i="4"/>
  <c r="N54" i="4" s="1"/>
  <c r="M53" i="4"/>
  <c r="N53" i="4" s="1"/>
  <c r="M52" i="4"/>
  <c r="N52" i="4" s="1"/>
  <c r="M51" i="4"/>
  <c r="N51" i="4" s="1"/>
  <c r="M50" i="4"/>
  <c r="N50" i="4" s="1"/>
  <c r="M49" i="4"/>
  <c r="N49" i="4" s="1"/>
  <c r="M48" i="4"/>
  <c r="N48" i="4" s="1"/>
  <c r="M47" i="4"/>
  <c r="N47" i="4" s="1"/>
  <c r="M46" i="4"/>
  <c r="N46" i="4" s="1"/>
  <c r="M45" i="4"/>
  <c r="N45" i="4" s="1"/>
  <c r="M44" i="4"/>
  <c r="N44" i="4" s="1"/>
  <c r="M43" i="4"/>
  <c r="N43" i="4" s="1"/>
  <c r="M42" i="4"/>
  <c r="N42" i="4" s="1"/>
  <c r="M41" i="4"/>
  <c r="N41" i="4" s="1"/>
  <c r="M40" i="4"/>
  <c r="N40" i="4" s="1"/>
  <c r="M39" i="4"/>
  <c r="N39" i="4" s="1"/>
  <c r="M38" i="4"/>
  <c r="N38" i="4" s="1"/>
  <c r="O38" i="4" s="1"/>
  <c r="P38" i="4" s="1"/>
  <c r="M37" i="4"/>
  <c r="N37" i="4" s="1"/>
  <c r="O37" i="4" s="1"/>
  <c r="P37" i="4" s="1"/>
  <c r="M36" i="4"/>
  <c r="N36" i="4" s="1"/>
  <c r="O36" i="4" s="1"/>
  <c r="P36" i="4" s="1"/>
  <c r="M35" i="4"/>
  <c r="N35" i="4" s="1"/>
  <c r="M34" i="4"/>
  <c r="N34" i="4" s="1"/>
  <c r="M33" i="4"/>
  <c r="N33" i="4" s="1"/>
  <c r="M32" i="4"/>
  <c r="N32" i="4" s="1"/>
  <c r="O32" i="4" s="1"/>
  <c r="P32" i="4" s="1"/>
  <c r="M31" i="4"/>
  <c r="N31" i="4" s="1"/>
  <c r="O31" i="4" s="1"/>
  <c r="P31" i="4" s="1"/>
  <c r="M30" i="4"/>
  <c r="N30" i="4" s="1"/>
  <c r="O30" i="4" s="1"/>
  <c r="P30" i="4" s="1"/>
  <c r="M29" i="4"/>
  <c r="N29" i="4" s="1"/>
  <c r="M28" i="4"/>
  <c r="N28" i="4" s="1"/>
  <c r="M27" i="4"/>
  <c r="N27" i="4" s="1"/>
  <c r="M26" i="4"/>
  <c r="N26" i="4" s="1"/>
  <c r="O26" i="4" s="1"/>
  <c r="P26" i="4" s="1"/>
  <c r="M25" i="4"/>
  <c r="N25" i="4" s="1"/>
  <c r="O25" i="4" s="1"/>
  <c r="P25" i="4" s="1"/>
  <c r="M24" i="4"/>
  <c r="N24" i="4" s="1"/>
  <c r="O24" i="4" s="1"/>
  <c r="P24" i="4" s="1"/>
  <c r="M23" i="4"/>
  <c r="N23" i="4" s="1"/>
  <c r="M22" i="4"/>
  <c r="N22" i="4" s="1"/>
  <c r="M21" i="4"/>
  <c r="N21" i="4" s="1"/>
  <c r="M20" i="4"/>
  <c r="N20" i="4" s="1"/>
  <c r="O20" i="4" s="1"/>
  <c r="P20" i="4" s="1"/>
  <c r="M19" i="4"/>
  <c r="N19" i="4" s="1"/>
  <c r="O19" i="4" s="1"/>
  <c r="P19" i="4" s="1"/>
  <c r="M18" i="4"/>
  <c r="N18" i="4" s="1"/>
  <c r="O18" i="4" s="1"/>
  <c r="P18" i="4" s="1"/>
  <c r="M17" i="4"/>
  <c r="N17" i="4" s="1"/>
  <c r="M16" i="4"/>
  <c r="N16" i="4" s="1"/>
  <c r="M15" i="4"/>
  <c r="N15" i="4" s="1"/>
  <c r="H69" i="18" l="1"/>
  <c r="P69" i="18"/>
  <c r="G69" i="18"/>
  <c r="I69" i="18"/>
  <c r="E69" i="18"/>
  <c r="F69" i="18"/>
  <c r="M69" i="18"/>
  <c r="M92" i="18"/>
  <c r="I92" i="18"/>
  <c r="G92" i="18"/>
  <c r="E92" i="18"/>
  <c r="P92" i="18"/>
  <c r="H92" i="18"/>
  <c r="F92" i="18"/>
  <c r="D92" i="18"/>
  <c r="M88" i="18"/>
  <c r="I88" i="18"/>
  <c r="G88" i="18"/>
  <c r="E88" i="18"/>
  <c r="P88" i="18"/>
  <c r="H88" i="18"/>
  <c r="F88" i="18"/>
  <c r="D88" i="18"/>
  <c r="M84" i="18"/>
  <c r="I84" i="18"/>
  <c r="G84" i="18"/>
  <c r="E84" i="18"/>
  <c r="P84" i="18"/>
  <c r="H84" i="18"/>
  <c r="F84" i="18"/>
  <c r="D84" i="18"/>
  <c r="M80" i="18"/>
  <c r="I80" i="18"/>
  <c r="G80" i="18"/>
  <c r="E80" i="18"/>
  <c r="P80" i="18"/>
  <c r="H80" i="18"/>
  <c r="F80" i="18"/>
  <c r="D80" i="18"/>
  <c r="M76" i="18"/>
  <c r="I76" i="18"/>
  <c r="G76" i="18"/>
  <c r="E76" i="18"/>
  <c r="P76" i="18"/>
  <c r="H76" i="18"/>
  <c r="F76" i="18"/>
  <c r="D76" i="18"/>
  <c r="P91" i="18"/>
  <c r="H91" i="18"/>
  <c r="F91" i="18"/>
  <c r="D91" i="18"/>
  <c r="M91" i="18"/>
  <c r="I91" i="18"/>
  <c r="G91" i="18"/>
  <c r="E91" i="18"/>
  <c r="P87" i="18"/>
  <c r="H87" i="18"/>
  <c r="F87" i="18"/>
  <c r="D87" i="18"/>
  <c r="M87" i="18"/>
  <c r="I87" i="18"/>
  <c r="G87" i="18"/>
  <c r="E87" i="18"/>
  <c r="P83" i="18"/>
  <c r="H83" i="18"/>
  <c r="F83" i="18"/>
  <c r="D83" i="18"/>
  <c r="M83" i="18"/>
  <c r="I83" i="18"/>
  <c r="G83" i="18"/>
  <c r="E83" i="18"/>
  <c r="P79" i="18"/>
  <c r="H79" i="18"/>
  <c r="F79" i="18"/>
  <c r="D79" i="18"/>
  <c r="M79" i="18"/>
  <c r="I79" i="18"/>
  <c r="G79" i="18"/>
  <c r="E79" i="18"/>
  <c r="P75" i="18"/>
  <c r="H75" i="18"/>
  <c r="F75" i="18"/>
  <c r="D75" i="18"/>
  <c r="M75" i="18"/>
  <c r="I75" i="18"/>
  <c r="G75" i="18"/>
  <c r="E75" i="18"/>
  <c r="M90" i="18"/>
  <c r="I90" i="18"/>
  <c r="G90" i="18"/>
  <c r="E90" i="18"/>
  <c r="P90" i="18"/>
  <c r="H90" i="18"/>
  <c r="F90" i="18"/>
  <c r="D90" i="18"/>
  <c r="M86" i="18"/>
  <c r="I86" i="18"/>
  <c r="G86" i="18"/>
  <c r="E86" i="18"/>
  <c r="P86" i="18"/>
  <c r="H86" i="18"/>
  <c r="F86" i="18"/>
  <c r="D86" i="18"/>
  <c r="M82" i="18"/>
  <c r="I82" i="18"/>
  <c r="G82" i="18"/>
  <c r="E82" i="18"/>
  <c r="P82" i="18"/>
  <c r="H82" i="18"/>
  <c r="F82" i="18"/>
  <c r="D82" i="18"/>
  <c r="M78" i="18"/>
  <c r="I78" i="18"/>
  <c r="G78" i="18"/>
  <c r="E78" i="18"/>
  <c r="P78" i="18"/>
  <c r="H78" i="18"/>
  <c r="F78" i="18"/>
  <c r="D78" i="18"/>
  <c r="P93" i="18"/>
  <c r="H93" i="18"/>
  <c r="F93" i="18"/>
  <c r="D93" i="18"/>
  <c r="M93" i="18"/>
  <c r="I93" i="18"/>
  <c r="G93" i="18"/>
  <c r="E93" i="18"/>
  <c r="P89" i="18"/>
  <c r="H89" i="18"/>
  <c r="F89" i="18"/>
  <c r="D89" i="18"/>
  <c r="M89" i="18"/>
  <c r="I89" i="18"/>
  <c r="G89" i="18"/>
  <c r="E89" i="18"/>
  <c r="P85" i="18"/>
  <c r="H85" i="18"/>
  <c r="F85" i="18"/>
  <c r="D85" i="18"/>
  <c r="M85" i="18"/>
  <c r="I85" i="18"/>
  <c r="G85" i="18"/>
  <c r="E85" i="18"/>
  <c r="P81" i="18"/>
  <c r="H81" i="18"/>
  <c r="F81" i="18"/>
  <c r="D81" i="18"/>
  <c r="M81" i="18"/>
  <c r="I81" i="18"/>
  <c r="G81" i="18"/>
  <c r="E81" i="18"/>
  <c r="P77" i="18"/>
  <c r="H77" i="18"/>
  <c r="F77" i="18"/>
  <c r="D77" i="18"/>
  <c r="M77" i="18"/>
  <c r="I77" i="18"/>
  <c r="G77" i="18"/>
  <c r="E77" i="18"/>
  <c r="G176" i="9"/>
  <c r="G175" i="9"/>
  <c r="G174" i="9"/>
  <c r="G173" i="9"/>
  <c r="G172" i="9"/>
  <c r="G171" i="9"/>
  <c r="G170" i="9"/>
  <c r="G169" i="9"/>
  <c r="G168" i="9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G150" i="9"/>
  <c r="G149" i="9"/>
  <c r="G148" i="9"/>
  <c r="G147" i="9"/>
  <c r="G146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D176" i="9"/>
  <c r="J176" i="9" s="1"/>
  <c r="D175" i="9"/>
  <c r="J175" i="9" s="1"/>
  <c r="D174" i="9"/>
  <c r="J174" i="9" s="1"/>
  <c r="D173" i="9"/>
  <c r="J173" i="9" s="1"/>
  <c r="D172" i="9"/>
  <c r="J172" i="9" s="1"/>
  <c r="D171" i="9"/>
  <c r="J171" i="9" s="1"/>
  <c r="D170" i="9"/>
  <c r="J170" i="9" s="1"/>
  <c r="D169" i="9"/>
  <c r="D168" i="9"/>
  <c r="J168" i="9" s="1"/>
  <c r="D167" i="9"/>
  <c r="J167" i="9" s="1"/>
  <c r="D166" i="9"/>
  <c r="J166" i="9" s="1"/>
  <c r="D165" i="9"/>
  <c r="J165" i="9" s="1"/>
  <c r="D164" i="9"/>
  <c r="J164" i="9" s="1"/>
  <c r="D163" i="9"/>
  <c r="J163" i="9" s="1"/>
  <c r="D162" i="9"/>
  <c r="J162" i="9" s="1"/>
  <c r="D161" i="9"/>
  <c r="J161" i="9" s="1"/>
  <c r="D160" i="9"/>
  <c r="D159" i="9"/>
  <c r="J159" i="9" s="1"/>
  <c r="D158" i="9"/>
  <c r="J158" i="9" s="1"/>
  <c r="D157" i="9"/>
  <c r="D156" i="9"/>
  <c r="J156" i="9" s="1"/>
  <c r="D155" i="9"/>
  <c r="J155" i="9" s="1"/>
  <c r="D154" i="9"/>
  <c r="J154" i="9" s="1"/>
  <c r="D153" i="9"/>
  <c r="D152" i="9"/>
  <c r="J152" i="9" s="1"/>
  <c r="D151" i="9"/>
  <c r="J151" i="9" s="1"/>
  <c r="D150" i="9"/>
  <c r="J150" i="9" s="1"/>
  <c r="D149" i="9"/>
  <c r="J149" i="9" s="1"/>
  <c r="D148" i="9"/>
  <c r="J148" i="9" s="1"/>
  <c r="D147" i="9"/>
  <c r="J147" i="9" s="1"/>
  <c r="D146" i="9"/>
  <c r="J146" i="9" s="1"/>
  <c r="D145" i="9"/>
  <c r="D144" i="9"/>
  <c r="D143" i="9"/>
  <c r="D142" i="9"/>
  <c r="D141" i="9"/>
  <c r="J141" i="9" s="1"/>
  <c r="D140" i="9"/>
  <c r="J140" i="9" s="1"/>
  <c r="D139" i="9"/>
  <c r="J139" i="9" s="1"/>
  <c r="D138" i="9"/>
  <c r="J138" i="9" s="1"/>
  <c r="D137" i="9"/>
  <c r="D136" i="9"/>
  <c r="D135" i="9"/>
  <c r="J135" i="9" s="1"/>
  <c r="D134" i="9"/>
  <c r="J134" i="9" s="1"/>
  <c r="D133" i="9"/>
  <c r="J133" i="9" s="1"/>
  <c r="D132" i="9"/>
  <c r="J132" i="9" s="1"/>
  <c r="D131" i="9"/>
  <c r="J131" i="9" s="1"/>
  <c r="D130" i="9"/>
  <c r="J130" i="9" s="1"/>
  <c r="D129" i="9"/>
  <c r="D128" i="9"/>
  <c r="J128" i="9" s="1"/>
  <c r="D126" i="9"/>
  <c r="J126" i="9" s="1"/>
  <c r="D125" i="9"/>
  <c r="J125" i="9" s="1"/>
  <c r="D124" i="9"/>
  <c r="J124" i="9" s="1"/>
  <c r="D123" i="9"/>
  <c r="J123" i="9" s="1"/>
  <c r="D122" i="9"/>
  <c r="J122" i="9" s="1"/>
  <c r="D121" i="9"/>
  <c r="J121" i="9" s="1"/>
  <c r="D120" i="9"/>
  <c r="D119" i="9"/>
  <c r="D118" i="9"/>
  <c r="J118" i="9" s="1"/>
  <c r="D117" i="9"/>
  <c r="J117" i="9" s="1"/>
  <c r="D116" i="9"/>
  <c r="J116" i="9" s="1"/>
  <c r="D115" i="9"/>
  <c r="J115" i="9" s="1"/>
  <c r="D114" i="9"/>
  <c r="J114" i="9" s="1"/>
  <c r="D113" i="9"/>
  <c r="J113" i="9" s="1"/>
  <c r="D112" i="9"/>
  <c r="J112" i="9" s="1"/>
  <c r="D111" i="9"/>
  <c r="D110" i="9"/>
  <c r="D109" i="9"/>
  <c r="D108" i="9"/>
  <c r="D107" i="9"/>
  <c r="D106" i="9"/>
  <c r="J106" i="9" s="1"/>
  <c r="D105" i="9"/>
  <c r="J105" i="9" s="1"/>
  <c r="D104" i="9"/>
  <c r="D103" i="9"/>
  <c r="J103" i="9" s="1"/>
  <c r="D102" i="9"/>
  <c r="J102" i="9" s="1"/>
  <c r="D101" i="9"/>
  <c r="J101" i="9" s="1"/>
  <c r="D100" i="9"/>
  <c r="J100" i="9" s="1"/>
  <c r="D99" i="9"/>
  <c r="J99" i="9" s="1"/>
  <c r="D98" i="9"/>
  <c r="J98" i="9" s="1"/>
  <c r="D97" i="9"/>
  <c r="J97" i="9" s="1"/>
  <c r="D96" i="9"/>
  <c r="J96" i="9" s="1"/>
  <c r="D95" i="9"/>
  <c r="J95" i="9" s="1"/>
  <c r="D94" i="9"/>
  <c r="J94" i="9" s="1"/>
  <c r="D93" i="9"/>
  <c r="J93" i="9" s="1"/>
  <c r="D92" i="9"/>
  <c r="J92" i="9" s="1"/>
  <c r="D91" i="9"/>
  <c r="J91" i="9" s="1"/>
  <c r="D90" i="9"/>
  <c r="J90" i="9" s="1"/>
  <c r="D89" i="9"/>
  <c r="J89" i="9" s="1"/>
  <c r="D88" i="9"/>
  <c r="D87" i="9"/>
  <c r="D86" i="9"/>
  <c r="D85" i="9"/>
  <c r="J85" i="9" s="1"/>
  <c r="D84" i="9"/>
  <c r="D83" i="9"/>
  <c r="J83" i="9" s="1"/>
  <c r="D82" i="9"/>
  <c r="J82" i="9" s="1"/>
  <c r="D81" i="9"/>
  <c r="J81" i="9" s="1"/>
  <c r="D80" i="9"/>
  <c r="D79" i="9"/>
  <c r="J79" i="9" s="1"/>
  <c r="D78" i="9"/>
  <c r="D77" i="9"/>
  <c r="J77" i="9" s="1"/>
  <c r="D76" i="9"/>
  <c r="J76" i="9" s="1"/>
  <c r="D75" i="9"/>
  <c r="J75" i="9" s="1"/>
  <c r="D74" i="9"/>
  <c r="J74" i="9" s="1"/>
  <c r="D73" i="9"/>
  <c r="J73" i="9" s="1"/>
  <c r="D72" i="9"/>
  <c r="D71" i="9"/>
  <c r="D70" i="9"/>
  <c r="J70" i="9" s="1"/>
  <c r="D69" i="9"/>
  <c r="J69" i="9" s="1"/>
  <c r="D68" i="9"/>
  <c r="J68" i="9" s="1"/>
  <c r="D67" i="9"/>
  <c r="J67" i="9" s="1"/>
  <c r="D66" i="9"/>
  <c r="J66" i="9" s="1"/>
  <c r="D65" i="9"/>
  <c r="J65" i="9" s="1"/>
  <c r="D64" i="9"/>
  <c r="J64" i="9" s="1"/>
  <c r="D63" i="9"/>
  <c r="J63" i="9" s="1"/>
  <c r="D62" i="9"/>
  <c r="J62" i="9" s="1"/>
  <c r="D61" i="9"/>
  <c r="J61" i="9" s="1"/>
  <c r="D60" i="9"/>
  <c r="J60" i="9" s="1"/>
  <c r="D59" i="9"/>
  <c r="J59" i="9" s="1"/>
  <c r="D58" i="9"/>
  <c r="J58" i="9" s="1"/>
  <c r="D57" i="9"/>
  <c r="J57" i="9" s="1"/>
  <c r="D56" i="9"/>
  <c r="J56" i="9" s="1"/>
  <c r="D55" i="9"/>
  <c r="J55" i="9" s="1"/>
  <c r="D54" i="9"/>
  <c r="J54" i="9" s="1"/>
  <c r="D53" i="9"/>
  <c r="J53" i="9" s="1"/>
  <c r="D52" i="9"/>
  <c r="J52" i="9" s="1"/>
  <c r="D51" i="9"/>
  <c r="J51" i="9" s="1"/>
  <c r="D50" i="9"/>
  <c r="J50" i="9" s="1"/>
  <c r="D49" i="9"/>
  <c r="J49" i="9" s="1"/>
  <c r="D48" i="9"/>
  <c r="D47" i="9"/>
  <c r="D46" i="9"/>
  <c r="D45" i="9"/>
  <c r="D44" i="9"/>
  <c r="D43" i="9"/>
  <c r="J43" i="9" s="1"/>
  <c r="D42" i="9"/>
  <c r="J42" i="9" s="1"/>
  <c r="D41" i="9"/>
  <c r="J41" i="9" s="1"/>
  <c r="D40" i="9"/>
  <c r="D39" i="9"/>
  <c r="D38" i="9"/>
  <c r="D37" i="9"/>
  <c r="J37" i="9" s="1"/>
  <c r="D36" i="9"/>
  <c r="J36" i="9" s="1"/>
  <c r="D35" i="9"/>
  <c r="J35" i="9" s="1"/>
  <c r="D34" i="9"/>
  <c r="J34" i="9" s="1"/>
  <c r="D33" i="9"/>
  <c r="J33" i="9" s="1"/>
  <c r="D32" i="9"/>
  <c r="D31" i="9"/>
  <c r="D30" i="9"/>
  <c r="J30" i="9" s="1"/>
  <c r="D29" i="9"/>
  <c r="J29" i="9" s="1"/>
  <c r="D28" i="9"/>
  <c r="J28" i="9" s="1"/>
  <c r="D27" i="9"/>
  <c r="J27" i="9" s="1"/>
  <c r="D26" i="9"/>
  <c r="J26" i="9" s="1"/>
  <c r="D25" i="9"/>
  <c r="J25" i="9" s="1"/>
  <c r="D24" i="9"/>
  <c r="D23" i="9"/>
  <c r="D22" i="9"/>
  <c r="D21" i="9"/>
  <c r="J21" i="9" s="1"/>
  <c r="D20" i="9"/>
  <c r="J20" i="9" s="1"/>
  <c r="D19" i="9"/>
  <c r="J19" i="9" s="1"/>
  <c r="D18" i="9"/>
  <c r="J18" i="9" s="1"/>
  <c r="D17" i="9"/>
  <c r="J17" i="9" s="1"/>
  <c r="D16" i="9"/>
  <c r="D15" i="9"/>
  <c r="D14" i="9"/>
  <c r="D13" i="9"/>
  <c r="J13" i="9" s="1"/>
  <c r="D12" i="9"/>
  <c r="J12" i="9" s="1"/>
  <c r="D11" i="9"/>
  <c r="J11" i="9" s="1"/>
  <c r="D10" i="9"/>
  <c r="J10" i="9" s="1"/>
  <c r="D9" i="9"/>
  <c r="J9" i="9" s="1"/>
  <c r="D8" i="9"/>
  <c r="D7" i="9"/>
  <c r="D6" i="9"/>
  <c r="D5" i="9"/>
  <c r="P9" i="13"/>
  <c r="P11" i="13"/>
  <c r="P12" i="13"/>
  <c r="F9" i="7"/>
  <c r="E9" i="7"/>
  <c r="D9" i="7"/>
  <c r="L106" i="18"/>
  <c r="L105" i="18"/>
  <c r="L104" i="18"/>
  <c r="L103" i="18"/>
  <c r="L102" i="18"/>
  <c r="L101" i="18"/>
  <c r="L100" i="18"/>
  <c r="L99" i="18"/>
  <c r="L98" i="18"/>
  <c r="L97" i="18"/>
  <c r="L96" i="18"/>
  <c r="L74" i="18"/>
  <c r="L73" i="18"/>
  <c r="L72" i="18"/>
  <c r="L71" i="18"/>
  <c r="L70" i="18"/>
  <c r="L68" i="18"/>
  <c r="L57" i="16"/>
  <c r="L56" i="16"/>
  <c r="L55" i="16"/>
  <c r="L54" i="16"/>
  <c r="L53" i="16"/>
  <c r="L52" i="16"/>
  <c r="L50" i="16"/>
  <c r="L49" i="16"/>
  <c r="L48" i="16"/>
  <c r="L47" i="16"/>
  <c r="L46" i="16"/>
  <c r="L45" i="16"/>
  <c r="L44" i="16"/>
  <c r="L43" i="16"/>
  <c r="L42" i="16"/>
  <c r="L41" i="16"/>
  <c r="L57" i="15"/>
  <c r="L56" i="15"/>
  <c r="L55" i="15"/>
  <c r="L54" i="15"/>
  <c r="L53" i="15"/>
  <c r="L52" i="15"/>
  <c r="L51" i="15"/>
  <c r="L50" i="15"/>
  <c r="C33" i="23"/>
  <c r="C34" i="23" s="1"/>
  <c r="A23" i="22"/>
  <c r="L122" i="21"/>
  <c r="G122" i="21"/>
  <c r="F122" i="21" s="1"/>
  <c r="A122" i="21"/>
  <c r="O100" i="21"/>
  <c r="E11" i="23" s="1"/>
  <c r="L59" i="21"/>
  <c r="L58" i="21"/>
  <c r="M51" i="21"/>
  <c r="G51" i="21"/>
  <c r="A51" i="21"/>
  <c r="A18" i="20"/>
  <c r="A18" i="19"/>
  <c r="G15" i="19"/>
  <c r="H13" i="19"/>
  <c r="K13" i="19" s="1"/>
  <c r="J12" i="19"/>
  <c r="H12" i="19"/>
  <c r="H11" i="19"/>
  <c r="K11" i="19" s="1"/>
  <c r="H10" i="19"/>
  <c r="K10" i="19" s="1"/>
  <c r="H9" i="19"/>
  <c r="K9" i="19" s="1"/>
  <c r="H8" i="19"/>
  <c r="K8" i="19" s="1"/>
  <c r="H7" i="19"/>
  <c r="K7" i="19" s="1"/>
  <c r="J6" i="19"/>
  <c r="H6" i="19"/>
  <c r="L136" i="18"/>
  <c r="G136" i="18"/>
  <c r="F136" i="18" s="1"/>
  <c r="A136" i="18"/>
  <c r="O118" i="18"/>
  <c r="E10" i="23" s="1"/>
  <c r="L115" i="18"/>
  <c r="L114" i="18"/>
  <c r="L113" i="18"/>
  <c r="L112" i="18"/>
  <c r="L111" i="18"/>
  <c r="L110" i="18"/>
  <c r="L109" i="18"/>
  <c r="L108" i="18"/>
  <c r="L107" i="18"/>
  <c r="L67" i="18"/>
  <c r="M60" i="18"/>
  <c r="G60" i="18"/>
  <c r="A60" i="18"/>
  <c r="K88" i="16"/>
  <c r="G88" i="16"/>
  <c r="L72" i="16"/>
  <c r="G72" i="16"/>
  <c r="F72" i="16" s="1"/>
  <c r="A72" i="16"/>
  <c r="O62" i="16"/>
  <c r="E9" i="23" s="1"/>
  <c r="L59" i="16"/>
  <c r="L58" i="16"/>
  <c r="L40" i="16"/>
  <c r="L39" i="16"/>
  <c r="M32" i="16"/>
  <c r="G32" i="16"/>
  <c r="A32" i="16"/>
  <c r="R30" i="16"/>
  <c r="L93" i="15"/>
  <c r="G93" i="15"/>
  <c r="F93" i="15" s="1"/>
  <c r="A93" i="15"/>
  <c r="O80" i="15"/>
  <c r="E8" i="23" s="1"/>
  <c r="L77" i="15"/>
  <c r="L49" i="15"/>
  <c r="L48" i="15"/>
  <c r="M41" i="15"/>
  <c r="G41" i="15"/>
  <c r="G43" i="15" s="1"/>
  <c r="F43" i="15" s="1"/>
  <c r="A41" i="15"/>
  <c r="R39" i="15"/>
  <c r="F213" i="13"/>
  <c r="F211" i="13"/>
  <c r="D211" i="13"/>
  <c r="G209" i="13"/>
  <c r="F207" i="13"/>
  <c r="D207" i="13"/>
  <c r="F71" i="11" s="1"/>
  <c r="G205" i="13"/>
  <c r="A204" i="13"/>
  <c r="P43" i="13"/>
  <c r="P42" i="13"/>
  <c r="P40" i="13"/>
  <c r="P38" i="13"/>
  <c r="P37" i="13"/>
  <c r="P36" i="13"/>
  <c r="P34" i="13"/>
  <c r="P32" i="13"/>
  <c r="P30" i="13"/>
  <c r="P28" i="13"/>
  <c r="P27" i="13"/>
  <c r="P26" i="13"/>
  <c r="P24" i="13"/>
  <c r="P22" i="13"/>
  <c r="P16" i="13"/>
  <c r="P14" i="13"/>
  <c r="A18" i="12"/>
  <c r="Q64" i="11"/>
  <c r="F12" i="23" s="1"/>
  <c r="P64" i="11"/>
  <c r="E12" i="23" s="1"/>
  <c r="M64" i="11"/>
  <c r="E77" i="11" s="1"/>
  <c r="A64" i="11"/>
  <c r="O62" i="11"/>
  <c r="J169" i="9"/>
  <c r="J160" i="9"/>
  <c r="J157" i="9"/>
  <c r="J153" i="9"/>
  <c r="J145" i="9"/>
  <c r="J144" i="9"/>
  <c r="J143" i="9"/>
  <c r="J142" i="9"/>
  <c r="J137" i="9"/>
  <c r="J136" i="9"/>
  <c r="J129" i="9"/>
  <c r="J120" i="9"/>
  <c r="J119" i="9"/>
  <c r="J111" i="9"/>
  <c r="J110" i="9"/>
  <c r="J109" i="9"/>
  <c r="J108" i="9"/>
  <c r="J107" i="9"/>
  <c r="J104" i="9"/>
  <c r="J88" i="9"/>
  <c r="J87" i="9"/>
  <c r="J86" i="9"/>
  <c r="J80" i="9"/>
  <c r="J78" i="9"/>
  <c r="J72" i="9"/>
  <c r="J71" i="9"/>
  <c r="J48" i="9"/>
  <c r="J47" i="9"/>
  <c r="J46" i="9"/>
  <c r="J45" i="9"/>
  <c r="J44" i="9"/>
  <c r="J40" i="9"/>
  <c r="J39" i="9"/>
  <c r="J38" i="9"/>
  <c r="J32" i="9"/>
  <c r="J31" i="9"/>
  <c r="J24" i="9"/>
  <c r="J23" i="9"/>
  <c r="J22" i="9"/>
  <c r="J16" i="9"/>
  <c r="J15" i="9"/>
  <c r="J14" i="9"/>
  <c r="J8" i="9"/>
  <c r="J7" i="9"/>
  <c r="J6" i="9"/>
  <c r="N404" i="7"/>
  <c r="A401" i="7"/>
  <c r="O398" i="7"/>
  <c r="P401" i="7"/>
  <c r="F49" i="15"/>
  <c r="M49" i="15"/>
  <c r="G49" i="15"/>
  <c r="H49" i="15"/>
  <c r="F205" i="13" l="1"/>
  <c r="G219" i="13"/>
  <c r="F219" i="13" s="1"/>
  <c r="C9" i="7"/>
  <c r="H9" i="7"/>
  <c r="G9" i="7"/>
  <c r="G404" i="7" s="1"/>
  <c r="H404" i="7" s="1"/>
  <c r="D209" i="13"/>
  <c r="G208" i="13"/>
  <c r="G200" i="9"/>
  <c r="C23" i="23" s="1"/>
  <c r="E200" i="9"/>
  <c r="O26" i="13"/>
  <c r="O40" i="13"/>
  <c r="O16" i="13"/>
  <c r="M88" i="16"/>
  <c r="F60" i="18"/>
  <c r="G62" i="18"/>
  <c r="F62" i="18" s="1"/>
  <c r="Q76" i="15"/>
  <c r="K6" i="19"/>
  <c r="K15" i="19" s="1"/>
  <c r="I15" i="19" s="1"/>
  <c r="R78" i="18"/>
  <c r="R82" i="18"/>
  <c r="R86" i="18"/>
  <c r="R90" i="18"/>
  <c r="R76" i="18"/>
  <c r="R80" i="18"/>
  <c r="R84" i="18"/>
  <c r="R88" i="18"/>
  <c r="R92" i="18"/>
  <c r="R69" i="18"/>
  <c r="F209" i="13"/>
  <c r="O42" i="13"/>
  <c r="O37" i="13"/>
  <c r="G34" i="16"/>
  <c r="F34" i="16" s="1"/>
  <c r="A80" i="15"/>
  <c r="R77" i="18"/>
  <c r="R81" i="18"/>
  <c r="R85" i="18"/>
  <c r="R89" i="18"/>
  <c r="R93" i="18"/>
  <c r="R75" i="18"/>
  <c r="R79" i="18"/>
  <c r="R83" i="18"/>
  <c r="R87" i="18"/>
  <c r="R91" i="18"/>
  <c r="O34" i="13"/>
  <c r="O11" i="13"/>
  <c r="O9" i="13"/>
  <c r="F32" i="16"/>
  <c r="O27" i="13"/>
  <c r="K12" i="19"/>
  <c r="A62" i="16"/>
  <c r="O43" i="13"/>
  <c r="D12" i="23"/>
  <c r="C12" i="23" s="1"/>
  <c r="A404" i="7"/>
  <c r="Q58" i="16"/>
  <c r="D11" i="23"/>
  <c r="A408" i="7"/>
  <c r="G53" i="21"/>
  <c r="F51" i="21"/>
  <c r="F53" i="21" s="1"/>
  <c r="M55" i="15"/>
  <c r="Q55" i="15"/>
  <c r="J5" i="9"/>
  <c r="J200" i="9" s="1"/>
  <c r="D205" i="13"/>
  <c r="D219" i="13" s="1"/>
  <c r="J219" i="13" s="1"/>
  <c r="F74" i="11"/>
  <c r="E71" i="11"/>
  <c r="P35" i="13"/>
  <c r="O35" i="13"/>
  <c r="I51" i="15"/>
  <c r="Q51" i="15"/>
  <c r="Q43" i="16"/>
  <c r="Q52" i="16"/>
  <c r="P13" i="13"/>
  <c r="O13" i="13"/>
  <c r="P21" i="13"/>
  <c r="O21" i="13"/>
  <c r="P29" i="13"/>
  <c r="O29" i="13"/>
  <c r="P45" i="13"/>
  <c r="O45" i="13"/>
  <c r="E47" i="16"/>
  <c r="Q47" i="16"/>
  <c r="G56" i="15"/>
  <c r="Q56" i="15"/>
  <c r="Q48" i="16"/>
  <c r="O32" i="13"/>
  <c r="A100" i="21"/>
  <c r="B100" i="21" s="1"/>
  <c r="I57" i="15"/>
  <c r="Q57" i="15"/>
  <c r="P41" i="16"/>
  <c r="Q41" i="16"/>
  <c r="P49" i="16"/>
  <c r="Q49" i="16"/>
  <c r="I56" i="16"/>
  <c r="Q56" i="16"/>
  <c r="I77" i="15"/>
  <c r="Q77" i="15"/>
  <c r="D9" i="23"/>
  <c r="A406" i="7"/>
  <c r="Q40" i="16"/>
  <c r="P57" i="16"/>
  <c r="Q57" i="16"/>
  <c r="O24" i="13"/>
  <c r="D8" i="23"/>
  <c r="A405" i="7"/>
  <c r="Q39" i="16"/>
  <c r="A118" i="18"/>
  <c r="Q42" i="16"/>
  <c r="Q50" i="16"/>
  <c r="O12" i="13"/>
  <c r="D52" i="15"/>
  <c r="Q52" i="15"/>
  <c r="Q44" i="16"/>
  <c r="D53" i="16"/>
  <c r="Q53" i="16"/>
  <c r="H53" i="15"/>
  <c r="Q53" i="15"/>
  <c r="P45" i="16"/>
  <c r="Q45" i="16"/>
  <c r="P54" i="16"/>
  <c r="Q54" i="16"/>
  <c r="Q59" i="16"/>
  <c r="G54" i="15"/>
  <c r="Q54" i="15"/>
  <c r="I46" i="16"/>
  <c r="Q46" i="16"/>
  <c r="H55" i="16"/>
  <c r="Q55" i="16"/>
  <c r="M59" i="21"/>
  <c r="Q59" i="21"/>
  <c r="F58" i="21"/>
  <c r="Q58" i="21"/>
  <c r="F110" i="18"/>
  <c r="Q110" i="18"/>
  <c r="D71" i="18"/>
  <c r="I73" i="18"/>
  <c r="I96" i="18"/>
  <c r="M98" i="18"/>
  <c r="E100" i="18"/>
  <c r="Q100" i="18"/>
  <c r="Q102" i="18"/>
  <c r="G104" i="18"/>
  <c r="Q104" i="18"/>
  <c r="H106" i="18"/>
  <c r="Q106" i="18"/>
  <c r="I68" i="18"/>
  <c r="Q68" i="18"/>
  <c r="Q108" i="18"/>
  <c r="F112" i="18"/>
  <c r="Q112" i="18"/>
  <c r="Q114" i="18"/>
  <c r="D10" i="23"/>
  <c r="A407" i="7"/>
  <c r="M107" i="18"/>
  <c r="Q107" i="18"/>
  <c r="E109" i="18"/>
  <c r="Q109" i="18"/>
  <c r="I111" i="18"/>
  <c r="Q111" i="18"/>
  <c r="D113" i="18"/>
  <c r="Q113" i="18"/>
  <c r="Q115" i="18"/>
  <c r="D72" i="18"/>
  <c r="H99" i="18"/>
  <c r="Q99" i="18"/>
  <c r="D101" i="18"/>
  <c r="Q101" i="18"/>
  <c r="Q103" i="18"/>
  <c r="Q105" i="18"/>
  <c r="Q67" i="18"/>
  <c r="O14" i="13"/>
  <c r="O22" i="13"/>
  <c r="O30" i="13"/>
  <c r="O38" i="13"/>
  <c r="O46" i="13"/>
  <c r="O36" i="13"/>
  <c r="O28" i="13"/>
  <c r="M73" i="18"/>
  <c r="P10" i="13"/>
  <c r="O10" i="13"/>
  <c r="P15" i="13"/>
  <c r="O15" i="13"/>
  <c r="P17" i="13"/>
  <c r="O17" i="13"/>
  <c r="P23" i="13"/>
  <c r="O23" i="13"/>
  <c r="P25" i="13"/>
  <c r="O25" i="13"/>
  <c r="P31" i="13"/>
  <c r="O31" i="13"/>
  <c r="P33" i="13"/>
  <c r="O33" i="13"/>
  <c r="P39" i="13"/>
  <c r="O39" i="13"/>
  <c r="P41" i="13"/>
  <c r="O41" i="13"/>
  <c r="P202" i="13"/>
  <c r="O202" i="13"/>
  <c r="I49" i="15"/>
  <c r="E49" i="15"/>
  <c r="F73" i="18"/>
  <c r="D49" i="15"/>
  <c r="P49" i="15"/>
  <c r="F41" i="15"/>
  <c r="E48" i="15"/>
  <c r="F48" i="15"/>
  <c r="D48" i="15"/>
  <c r="G48" i="15"/>
  <c r="H48" i="15"/>
  <c r="I48" i="15"/>
  <c r="P48" i="15"/>
  <c r="M48" i="15"/>
  <c r="P50" i="15"/>
  <c r="G50" i="15"/>
  <c r="I50" i="15"/>
  <c r="H50" i="15"/>
  <c r="M50" i="15"/>
  <c r="D50" i="15"/>
  <c r="E50" i="15"/>
  <c r="F50" i="15"/>
  <c r="F72" i="18"/>
  <c r="E72" i="18"/>
  <c r="G73" i="18"/>
  <c r="I71" i="11"/>
  <c r="M50" i="16" l="1"/>
  <c r="H98" i="18"/>
  <c r="M51" i="15"/>
  <c r="P47" i="16"/>
  <c r="E101" i="18"/>
  <c r="H47" i="16"/>
  <c r="D47" i="16"/>
  <c r="F101" i="18"/>
  <c r="G47" i="16"/>
  <c r="H45" i="16"/>
  <c r="F52" i="15"/>
  <c r="I45" i="16"/>
  <c r="G57" i="16"/>
  <c r="M43" i="16"/>
  <c r="P56" i="15"/>
  <c r="H53" i="16"/>
  <c r="E53" i="16"/>
  <c r="G50" i="16"/>
  <c r="E71" i="18"/>
  <c r="E53" i="15"/>
  <c r="F53" i="15"/>
  <c r="E54" i="16"/>
  <c r="E112" i="18"/>
  <c r="I110" i="18"/>
  <c r="E55" i="16"/>
  <c r="I55" i="16"/>
  <c r="E110" i="18"/>
  <c r="H71" i="18"/>
  <c r="M104" i="18"/>
  <c r="E99" i="18"/>
  <c r="I106" i="18"/>
  <c r="P71" i="18"/>
  <c r="F96" i="18"/>
  <c r="I57" i="16"/>
  <c r="C25" i="23"/>
  <c r="C26" i="23" s="1"/>
  <c r="P52" i="15"/>
  <c r="E45" i="16"/>
  <c r="I113" i="18"/>
  <c r="F57" i="16"/>
  <c r="D109" i="18"/>
  <c r="I53" i="16"/>
  <c r="H100" i="18"/>
  <c r="F50" i="16"/>
  <c r="M53" i="16"/>
  <c r="D50" i="16"/>
  <c r="G76" i="15"/>
  <c r="H76" i="15"/>
  <c r="D76" i="15"/>
  <c r="I76" i="15"/>
  <c r="E76" i="15"/>
  <c r="F76" i="15"/>
  <c r="M76" i="15"/>
  <c r="P76" i="15"/>
  <c r="F57" i="15"/>
  <c r="D55" i="15"/>
  <c r="D51" i="15"/>
  <c r="F51" i="15"/>
  <c r="D56" i="15"/>
  <c r="P57" i="15"/>
  <c r="E51" i="15"/>
  <c r="H51" i="15"/>
  <c r="G57" i="15"/>
  <c r="I53" i="15"/>
  <c r="E57" i="15"/>
  <c r="P53" i="15"/>
  <c r="E106" i="18"/>
  <c r="E54" i="15"/>
  <c r="E98" i="18"/>
  <c r="G55" i="15"/>
  <c r="E52" i="15"/>
  <c r="D59" i="21"/>
  <c r="F53" i="16"/>
  <c r="I52" i="15"/>
  <c r="H77" i="15"/>
  <c r="G52" i="15"/>
  <c r="E55" i="15"/>
  <c r="G46" i="16"/>
  <c r="E77" i="15"/>
  <c r="F56" i="15"/>
  <c r="D55" i="16"/>
  <c r="F46" i="16"/>
  <c r="D53" i="15"/>
  <c r="D77" i="15"/>
  <c r="E56" i="15"/>
  <c r="H52" i="15"/>
  <c r="E50" i="16"/>
  <c r="P53" i="16"/>
  <c r="G53" i="16"/>
  <c r="R72" i="18"/>
  <c r="P77" i="15"/>
  <c r="I56" i="15"/>
  <c r="H54" i="15"/>
  <c r="H50" i="16"/>
  <c r="M77" i="15"/>
  <c r="H68" i="18"/>
  <c r="H56" i="15"/>
  <c r="M56" i="15"/>
  <c r="M52" i="15"/>
  <c r="P55" i="15"/>
  <c r="P50" i="16"/>
  <c r="E58" i="21"/>
  <c r="E59" i="21"/>
  <c r="G59" i="21"/>
  <c r="D59" i="16"/>
  <c r="F59" i="16"/>
  <c r="M59" i="16"/>
  <c r="M58" i="16"/>
  <c r="P58" i="16"/>
  <c r="M115" i="18"/>
  <c r="E115" i="18"/>
  <c r="H115" i="18"/>
  <c r="E59" i="16"/>
  <c r="G68" i="18"/>
  <c r="H56" i="16"/>
  <c r="P59" i="16"/>
  <c r="I100" i="18"/>
  <c r="E111" i="18"/>
  <c r="G111" i="18"/>
  <c r="D68" i="18"/>
  <c r="M68" i="18"/>
  <c r="P52" i="16"/>
  <c r="F70" i="18"/>
  <c r="E70" i="18"/>
  <c r="D102" i="18"/>
  <c r="F102" i="18"/>
  <c r="E102" i="18"/>
  <c r="G39" i="16"/>
  <c r="F39" i="16"/>
  <c r="H39" i="16"/>
  <c r="M39" i="16"/>
  <c r="P39" i="16"/>
  <c r="I39" i="16"/>
  <c r="D39" i="16"/>
  <c r="E39" i="16"/>
  <c r="D56" i="16"/>
  <c r="M56" i="16"/>
  <c r="E56" i="16"/>
  <c r="G56" i="16"/>
  <c r="P56" i="16"/>
  <c r="F56" i="16"/>
  <c r="M52" i="16"/>
  <c r="F54" i="16"/>
  <c r="G54" i="16"/>
  <c r="M54" i="16"/>
  <c r="D54" i="16"/>
  <c r="H54" i="16"/>
  <c r="I54" i="16"/>
  <c r="M42" i="16"/>
  <c r="P42" i="16"/>
  <c r="P100" i="18"/>
  <c r="M100" i="18"/>
  <c r="I70" i="18"/>
  <c r="P46" i="16"/>
  <c r="M46" i="16"/>
  <c r="E46" i="16"/>
  <c r="H46" i="16"/>
  <c r="F40" i="16"/>
  <c r="D40" i="16"/>
  <c r="P40" i="16"/>
  <c r="E40" i="16"/>
  <c r="I40" i="16"/>
  <c r="G40" i="16"/>
  <c r="H40" i="16"/>
  <c r="M40" i="16"/>
  <c r="M41" i="16"/>
  <c r="F55" i="15"/>
  <c r="F106" i="18"/>
  <c r="G51" i="15"/>
  <c r="G77" i="15"/>
  <c r="F54" i="15"/>
  <c r="M54" i="15"/>
  <c r="I54" i="15"/>
  <c r="P54" i="15"/>
  <c r="H96" i="18"/>
  <c r="E104" i="18"/>
  <c r="A410" i="7"/>
  <c r="A411" i="7" s="1"/>
  <c r="P44" i="16"/>
  <c r="M44" i="16"/>
  <c r="H57" i="16"/>
  <c r="E74" i="11"/>
  <c r="I74" i="11"/>
  <c r="I207" i="13" s="1"/>
  <c r="D46" i="16"/>
  <c r="I112" i="18"/>
  <c r="P51" i="15"/>
  <c r="F77" i="15"/>
  <c r="F41" i="16"/>
  <c r="P55" i="16"/>
  <c r="F55" i="16"/>
  <c r="M55" i="16"/>
  <c r="E57" i="16"/>
  <c r="M57" i="16"/>
  <c r="M49" i="16"/>
  <c r="H57" i="15"/>
  <c r="D57" i="15"/>
  <c r="M57" i="15"/>
  <c r="F208" i="13"/>
  <c r="D208" i="13"/>
  <c r="M48" i="16"/>
  <c r="P48" i="16"/>
  <c r="F47" i="16"/>
  <c r="I47" i="16"/>
  <c r="M47" i="16"/>
  <c r="P43" i="16"/>
  <c r="G55" i="16"/>
  <c r="G106" i="18"/>
  <c r="D54" i="15"/>
  <c r="E96" i="18"/>
  <c r="D57" i="16"/>
  <c r="I107" i="18"/>
  <c r="D96" i="18"/>
  <c r="D45" i="16"/>
  <c r="M45" i="16"/>
  <c r="F45" i="16"/>
  <c r="G45" i="16"/>
  <c r="M53" i="15"/>
  <c r="G53" i="15"/>
  <c r="I58" i="21"/>
  <c r="H58" i="21"/>
  <c r="P58" i="21"/>
  <c r="D58" i="21"/>
  <c r="M58" i="21"/>
  <c r="G58" i="21"/>
  <c r="P59" i="21"/>
  <c r="F59" i="21"/>
  <c r="E113" i="18"/>
  <c r="P112" i="18"/>
  <c r="M112" i="18"/>
  <c r="P110" i="18"/>
  <c r="H110" i="18"/>
  <c r="M111" i="18"/>
  <c r="P111" i="18"/>
  <c r="D115" i="18"/>
  <c r="M113" i="18"/>
  <c r="G109" i="18"/>
  <c r="G107" i="18"/>
  <c r="G100" i="18"/>
  <c r="D100" i="18"/>
  <c r="H73" i="18"/>
  <c r="F71" i="18"/>
  <c r="M99" i="18"/>
  <c r="M70" i="18"/>
  <c r="F113" i="18"/>
  <c r="D112" i="18"/>
  <c r="H112" i="18"/>
  <c r="G112" i="18"/>
  <c r="D110" i="18"/>
  <c r="G110" i="18"/>
  <c r="M110" i="18"/>
  <c r="M106" i="18"/>
  <c r="D106" i="18"/>
  <c r="P106" i="18"/>
  <c r="D111" i="18"/>
  <c r="H111" i="18"/>
  <c r="F111" i="18"/>
  <c r="F100" i="18"/>
  <c r="P96" i="18"/>
  <c r="I104" i="18"/>
  <c r="P98" i="18"/>
  <c r="H102" i="18"/>
  <c r="D73" i="18"/>
  <c r="G98" i="18"/>
  <c r="F109" i="18"/>
  <c r="M109" i="18"/>
  <c r="D107" i="18"/>
  <c r="H104" i="18"/>
  <c r="P102" i="18"/>
  <c r="M96" i="18"/>
  <c r="G96" i="18"/>
  <c r="I71" i="18"/>
  <c r="P95" i="18"/>
  <c r="H95" i="18"/>
  <c r="F95" i="18"/>
  <c r="D95" i="18"/>
  <c r="M95" i="18"/>
  <c r="I95" i="18"/>
  <c r="G95" i="18"/>
  <c r="E95" i="18"/>
  <c r="M94" i="18"/>
  <c r="I94" i="18"/>
  <c r="G94" i="18"/>
  <c r="E94" i="18"/>
  <c r="P94" i="18"/>
  <c r="H94" i="18"/>
  <c r="F94" i="18"/>
  <c r="D94" i="18"/>
  <c r="P67" i="18"/>
  <c r="D67" i="18"/>
  <c r="I67" i="18"/>
  <c r="E67" i="18"/>
  <c r="M67" i="18"/>
  <c r="F67" i="18"/>
  <c r="H67" i="18"/>
  <c r="G67" i="18"/>
  <c r="I105" i="18"/>
  <c r="M105" i="18"/>
  <c r="D105" i="18"/>
  <c r="E105" i="18"/>
  <c r="P105" i="18"/>
  <c r="G105" i="18"/>
  <c r="H105" i="18"/>
  <c r="F105" i="18"/>
  <c r="M103" i="18"/>
  <c r="I103" i="18"/>
  <c r="H103" i="18"/>
  <c r="F103" i="18"/>
  <c r="P103" i="18"/>
  <c r="E103" i="18"/>
  <c r="D103" i="18"/>
  <c r="G103" i="18"/>
  <c r="G101" i="18"/>
  <c r="P101" i="18"/>
  <c r="H101" i="18"/>
  <c r="I101" i="18"/>
  <c r="M101" i="18"/>
  <c r="F99" i="18"/>
  <c r="I99" i="18"/>
  <c r="G99" i="18"/>
  <c r="D99" i="18"/>
  <c r="P99" i="18"/>
  <c r="P97" i="18"/>
  <c r="F97" i="18"/>
  <c r="M97" i="18"/>
  <c r="H97" i="18"/>
  <c r="G97" i="18"/>
  <c r="I97" i="18"/>
  <c r="E97" i="18"/>
  <c r="D97" i="18"/>
  <c r="M74" i="18"/>
  <c r="I74" i="18"/>
  <c r="H74" i="18"/>
  <c r="F74" i="18"/>
  <c r="D74" i="18"/>
  <c r="G74" i="18"/>
  <c r="E74" i="18"/>
  <c r="P74" i="18"/>
  <c r="I72" i="18"/>
  <c r="H72" i="18"/>
  <c r="M72" i="18"/>
  <c r="G72" i="18"/>
  <c r="P72" i="18"/>
  <c r="H70" i="18"/>
  <c r="G70" i="18"/>
  <c r="P70" i="18"/>
  <c r="D70" i="18"/>
  <c r="I115" i="18"/>
  <c r="G115" i="18"/>
  <c r="P115" i="18"/>
  <c r="F115" i="18"/>
  <c r="H113" i="18"/>
  <c r="G113" i="18"/>
  <c r="P113" i="18"/>
  <c r="P109" i="18"/>
  <c r="I109" i="18"/>
  <c r="H109" i="18"/>
  <c r="F107" i="18"/>
  <c r="E107" i="18"/>
  <c r="H107" i="18"/>
  <c r="P107" i="18"/>
  <c r="I114" i="18"/>
  <c r="G114" i="18"/>
  <c r="M114" i="18"/>
  <c r="D114" i="18"/>
  <c r="F114" i="18"/>
  <c r="P114" i="18"/>
  <c r="H114" i="18"/>
  <c r="E114" i="18"/>
  <c r="M108" i="18"/>
  <c r="G108" i="18"/>
  <c r="F108" i="18"/>
  <c r="I108" i="18"/>
  <c r="E108" i="18"/>
  <c r="H108" i="18"/>
  <c r="P108" i="18"/>
  <c r="D108" i="18"/>
  <c r="E68" i="18"/>
  <c r="P68" i="18"/>
  <c r="F68" i="18"/>
  <c r="D104" i="18"/>
  <c r="F104" i="18"/>
  <c r="P104" i="18"/>
  <c r="G102" i="18"/>
  <c r="M102" i="18"/>
  <c r="I102" i="18"/>
  <c r="D98" i="18"/>
  <c r="I98" i="18"/>
  <c r="F98" i="18"/>
  <c r="E73" i="18"/>
  <c r="P73" i="18"/>
  <c r="G71" i="18"/>
  <c r="M71" i="18"/>
  <c r="R112" i="18" l="1"/>
  <c r="P100" i="21"/>
  <c r="F11" i="23" s="1"/>
  <c r="C11" i="23" s="1"/>
  <c r="P118" i="18"/>
  <c r="F10" i="23" s="1"/>
  <c r="C10" i="23" s="1"/>
  <c r="P62" i="16"/>
  <c r="F9" i="23" s="1"/>
  <c r="C9" i="23" s="1"/>
  <c r="P80" i="15"/>
  <c r="F8" i="23" s="1"/>
  <c r="C8" i="23" s="1"/>
  <c r="R101" i="18"/>
  <c r="R109" i="18"/>
  <c r="R110" i="18"/>
  <c r="R71" i="18"/>
  <c r="R70" i="18"/>
  <c r="R113" i="18"/>
  <c r="R104" i="18"/>
  <c r="R74" i="18"/>
  <c r="R103" i="18"/>
  <c r="R96" i="18"/>
  <c r="R98" i="18"/>
  <c r="R95" i="18"/>
  <c r="R111" i="18"/>
  <c r="R102" i="18"/>
  <c r="R105" i="18"/>
  <c r="R107" i="18"/>
  <c r="R108" i="18"/>
  <c r="R73" i="18"/>
  <c r="R106" i="18"/>
  <c r="R97" i="18"/>
  <c r="R67" i="18"/>
  <c r="R99" i="18"/>
  <c r="R115" i="18"/>
  <c r="R114" i="18"/>
  <c r="R94" i="18"/>
  <c r="R100" i="18"/>
  <c r="R68" i="18"/>
  <c r="J213" i="13"/>
  <c r="J215" i="13" s="1"/>
  <c r="J207" i="13"/>
  <c r="C14" i="23" l="1"/>
  <c r="C18" i="23" s="1"/>
  <c r="C21" i="23" s="1"/>
  <c r="C16" i="23" l="1"/>
  <c r="C29" i="23"/>
  <c r="C256" i="7"/>
  <c r="D257" i="7"/>
  <c r="C257" i="7" s="1"/>
  <c r="I256" i="7"/>
</calcChain>
</file>

<file path=xl/connections.xml><?xml version="1.0" encoding="utf-8"?>
<connections xmlns="http://schemas.openxmlformats.org/spreadsheetml/2006/main">
  <connection id="1" name="CIMS_CIRS_2003-10-03" type="6" refreshedVersion="1" background="1" saveData="1">
    <textPr firstRow="7" sourceFile="E:\6 - Misc\Homework\Tour Sequences\S01\CIMS_CIRS_2003-10-03.txt">
      <textFields count="13">
        <textField/>
        <textField type="skip"/>
        <textField type="skip"/>
        <textField/>
        <textField type="skip"/>
        <textField/>
        <textField/>
        <textField/>
        <textField/>
        <textField/>
        <textField/>
        <textField/>
        <textField type="skip"/>
      </textFields>
    </textPr>
  </connection>
  <connection id="2" name="CIMS_CIRS_2003-11-02" type="6" refreshedVersion="1" background="1" saveData="1">
    <textPr firstRow="7" sourceFile="E:\6 - Misc\Homework\Tour Sequences\S01\CIMS_CIRS_2003-11-02.txt">
      <textFields count="13">
        <textField/>
        <textField type="skip"/>
        <textField type="skip"/>
        <textField/>
        <textField type="skip"/>
        <textField/>
        <textField/>
        <textField/>
        <textField/>
        <textField/>
        <textField/>
        <textField/>
        <textField/>
      </textFields>
    </textPr>
  </connection>
  <connection id="3" name="S97_SIP_Port3_rwa_summary_160927_144247" type="6" refreshedVersion="4" background="1" saveData="1">
    <textPr codePage="437" sourceFile="C:\1 - Cassini\Sequences\5 - Solstice Mission\2 - Sequences\S97\1 - Uplink\CIRS Observations\DSCALs\S97_SIP_Port3_rwa_summary_160927_144247.txt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<sst xmlns="http://schemas.openxmlformats.org/spreadsheetml/2006/main" count="11099" uniqueCount="1108">
  <si>
    <t>Data</t>
  </si>
  <si>
    <t>No Data</t>
  </si>
  <si>
    <t>Open</t>
  </si>
  <si>
    <t>Centers</t>
  </si>
  <si>
    <t>Pairs</t>
  </si>
  <si>
    <t>Blink</t>
  </si>
  <si>
    <t>Closed</t>
  </si>
  <si>
    <t>Table Number</t>
  </si>
  <si>
    <t>Summary</t>
  </si>
  <si>
    <r>
      <t>Wavlength Resolution (cm</t>
    </r>
    <r>
      <rPr>
        <vertAlign val="superscript"/>
        <sz val="12"/>
        <rFont val="Arial"/>
        <family val="2"/>
      </rPr>
      <t>-1</t>
    </r>
    <r>
      <rPr>
        <sz val="11"/>
        <color theme="1"/>
        <rFont val="Calibri"/>
        <family val="2"/>
        <scheme val="minor"/>
      </rPr>
      <t>)</t>
    </r>
  </si>
  <si>
    <t>Co Add/ No Add</t>
  </si>
  <si>
    <t>FP1</t>
  </si>
  <si>
    <t>FP3</t>
  </si>
  <si>
    <t>FP4</t>
  </si>
  <si>
    <t>Shutter</t>
  </si>
  <si>
    <t>Total:</t>
  </si>
  <si>
    <t>Mixed</t>
  </si>
  <si>
    <t>Request Name</t>
  </si>
  <si>
    <t>Start Time</t>
  </si>
  <si>
    <t>Duration</t>
  </si>
  <si>
    <t>End Time</t>
  </si>
  <si>
    <t>Data Rate (bps)</t>
  </si>
  <si>
    <t>Data Volume (Mbit)</t>
  </si>
  <si>
    <t>SPASS Note</t>
  </si>
  <si>
    <t>Pointing</t>
  </si>
  <si>
    <t>Calendar Day</t>
  </si>
  <si>
    <t>Year</t>
  </si>
  <si>
    <t>DOY</t>
  </si>
  <si>
    <t>hh:mm:ss</t>
  </si>
  <si>
    <t>Primary</t>
  </si>
  <si>
    <t>Secondary</t>
  </si>
  <si>
    <t>Agreement</t>
  </si>
  <si>
    <t>Number of CIRS Observations</t>
  </si>
  <si>
    <t>Days</t>
  </si>
  <si>
    <t>Total data volume</t>
  </si>
  <si>
    <t>Mbit</t>
  </si>
  <si>
    <t>Starting Table Number</t>
  </si>
  <si>
    <t>Table #</t>
  </si>
  <si>
    <t>Loop</t>
  </si>
  <si>
    <t>CIRS_NO_DATA_TIME_002</t>
  </si>
  <si>
    <t>CIRS_NO_DATA_TIME_003</t>
  </si>
  <si>
    <t>CIRS_NO_DATA_TIME_004</t>
  </si>
  <si>
    <t>CIRS_NO_DATA_TIME_005</t>
  </si>
  <si>
    <t>CIRS_NO_DATA_TIME_006</t>
  </si>
  <si>
    <t>CIRS_NO_DATA_TIME_007</t>
  </si>
  <si>
    <t>CIRS_NO_DATA_TIME_008</t>
  </si>
  <si>
    <t>CIRS_NO_DATA_TIME_009</t>
  </si>
  <si>
    <t>CIRS_NO_DATA_TIME_010</t>
  </si>
  <si>
    <t>CIRS_NO_DATA_TIME_011</t>
  </si>
  <si>
    <t>CIRS_NO_DATA_TIME_012</t>
  </si>
  <si>
    <t>CIRS_NO_DATA_TIME_013</t>
  </si>
  <si>
    <t>CIRS_NO_DATA_TIME_014</t>
  </si>
  <si>
    <t>CIRS_NO_DATA_TIME_015</t>
  </si>
  <si>
    <t>CIRS_NO_DATA_TIME_016</t>
  </si>
  <si>
    <t>CIRS_NO_DATA_TIME_017</t>
  </si>
  <si>
    <t>CIRS_NO_DATA_TIME_018</t>
  </si>
  <si>
    <t>CIRS_NO_DATA_TIME_019</t>
  </si>
  <si>
    <t>CIRS_NO_DATA_TIME_020</t>
  </si>
  <si>
    <t>CIRS_NO_DATA_TIME_021</t>
  </si>
  <si>
    <t>CIRS_NO_DATA_TIME_022</t>
  </si>
  <si>
    <t>CIRS_NO_DATA_TIME_023</t>
  </si>
  <si>
    <t>CIRS_NO_DATA_TIME_024</t>
  </si>
  <si>
    <t>CIRS_NO_DATA_TIME_025</t>
  </si>
  <si>
    <t>CIRS_NO_DATA_TIME_026</t>
  </si>
  <si>
    <t>CIRS_NO_DATA_TIME_027</t>
  </si>
  <si>
    <t>CIRS_NO_DATA_TIME_028</t>
  </si>
  <si>
    <t>CIRS_NO_DATA_TIME_029</t>
  </si>
  <si>
    <t>CIRS_NO_DATA_TIME_030</t>
  </si>
  <si>
    <t>CIRS_NO_DATA_TIME_031</t>
  </si>
  <si>
    <t>CIRS_NO_DATA_TIME_032</t>
  </si>
  <si>
    <t>CIRS_NO_DATA_TIME_033</t>
  </si>
  <si>
    <t>CIRS_NO_DATA_TIME_034</t>
  </si>
  <si>
    <t>CIRS_NO_DATA_TIME_035</t>
  </si>
  <si>
    <t>CIRS_NO_DATA_TIME_036</t>
  </si>
  <si>
    <t>CIRS_NO_DATA_TIME_037</t>
  </si>
  <si>
    <t>CIRS_NO_DATA_TIME_038</t>
  </si>
  <si>
    <t>CIRS_NO_DATA_TIME_039</t>
  </si>
  <si>
    <t>CIRS_NO_DATA_TIME_040</t>
  </si>
  <si>
    <t>CIRS_NO_DATA_TIME_041</t>
  </si>
  <si>
    <t>CIRS_NO_DATA_TIME_042</t>
  </si>
  <si>
    <t>CIRS_NO_DATA_TIME_043</t>
  </si>
  <si>
    <t>CIRS_NO_DATA_TIME_044</t>
  </si>
  <si>
    <t>CIRS_NO_DATA_TIME_045</t>
  </si>
  <si>
    <t>CIRS_NO_DATA_TIME_046</t>
  </si>
  <si>
    <t>CIRS_NO_DATA_TIME_047</t>
  </si>
  <si>
    <t>CIRS_NO_DATA_TIME_048</t>
  </si>
  <si>
    <t>CIRS_NO_DATA_TIME_049</t>
  </si>
  <si>
    <t>CIRS_NO_DATA_TIME_050</t>
  </si>
  <si>
    <t>CIRS_NO_DATA_TIME_051</t>
  </si>
  <si>
    <t>CIRS_NO_DATA_TIME_052</t>
  </si>
  <si>
    <t>CIRS_NO_DATA_TIME_053</t>
  </si>
  <si>
    <t>CIRS_NO_DATA_TIME_054</t>
  </si>
  <si>
    <t>CIRS_NO_DATA_TIME_055</t>
  </si>
  <si>
    <t>CIRS_NO_DATA_TIME_056</t>
  </si>
  <si>
    <t>CIRS_NO_DATA_TIME_057</t>
  </si>
  <si>
    <t>CIRS_NO_DATA_TIME_058</t>
  </si>
  <si>
    <t>CIRS_NO_DATA_TIME_059</t>
  </si>
  <si>
    <t>CIRS_NO_DATA_TIME_060</t>
  </si>
  <si>
    <t>CIRS_NO_DATA_TIME_061</t>
  </si>
  <si>
    <t>CIRS_NO_DATA_TIME_062</t>
  </si>
  <si>
    <t>CIRS_NO_DATA_TIME_063</t>
  </si>
  <si>
    <t>CIRS_NO_DATA_TIME_064</t>
  </si>
  <si>
    <t>CIRS_NO_DATA_TIME_065</t>
  </si>
  <si>
    <t>CIRS_NO_DATA_TIME_066</t>
  </si>
  <si>
    <t>CIRS_NO_DATA_TIME_067</t>
  </si>
  <si>
    <t>CIRS_NO_DATA_TIME_068</t>
  </si>
  <si>
    <t>CIRS_NO_DATA_TIME_069</t>
  </si>
  <si>
    <t>CIRS_NO_DATA_TIME_070</t>
  </si>
  <si>
    <t>CIRS_NO_DATA_TIME_071</t>
  </si>
  <si>
    <t>CIRS_NO_DATA_TIME_072</t>
  </si>
  <si>
    <t>CIRS_NO_DATA_TIME_073</t>
  </si>
  <si>
    <t>CIRS_NO_DATA_TIME_074</t>
  </si>
  <si>
    <t>CIRS_NO_DATA_TIME_075</t>
  </si>
  <si>
    <t>CIRS_NO_DATA_TIME_076</t>
  </si>
  <si>
    <t>CIRS_NO_DATA_TIME_077</t>
  </si>
  <si>
    <t>CIRS_NO_DATA_TIME_078</t>
  </si>
  <si>
    <t>CIRS_NO_DATA_TIME_079</t>
  </si>
  <si>
    <t>CIRS_NO_DATA_TIME_080</t>
  </si>
  <si>
    <t>CIRS_NO_DATA_TIME_081</t>
  </si>
  <si>
    <t>CIRS_NO_DATA_TIME_082</t>
  </si>
  <si>
    <t>CIRS_NO_DATA_TIME_083</t>
  </si>
  <si>
    <t>CIRS_NO_DATA_TIME_084</t>
  </si>
  <si>
    <t>CIRS_NO_DATA_TIME_085</t>
  </si>
  <si>
    <t>CIRS_NO_DATA_TIME_086</t>
  </si>
  <si>
    <t>CIRS_NO_DATA_TIME_087</t>
  </si>
  <si>
    <t>CIRS_NO_DATA_TIME_088</t>
  </si>
  <si>
    <t>CIRS_NO_DATA_TIME_089</t>
  </si>
  <si>
    <t>CIRS_NO_DATA_TIME_090</t>
  </si>
  <si>
    <t>CIRS_NO_DATA_TIME_091</t>
  </si>
  <si>
    <t>CIRS_NO_DATA_TIME_092</t>
  </si>
  <si>
    <t>CIRS_NO_DATA_TIME_093</t>
  </si>
  <si>
    <t>CIRS_NO_DATA_TIME_094</t>
  </si>
  <si>
    <t>CIRS_NO_DATA_TIME_095</t>
  </si>
  <si>
    <t>CIRS_NO_DATA_TIME_096</t>
  </si>
  <si>
    <t>CIRS_NO_DATA_TIME_097</t>
  </si>
  <si>
    <t>CIRS_NO_DATA_TIME_098</t>
  </si>
  <si>
    <t>CIRS_NO_DATA_TIME_099</t>
  </si>
  <si>
    <t>CIRS_NO_DATA_TIME_100</t>
  </si>
  <si>
    <t>CIRS_NO_DATA_TIME_101</t>
  </si>
  <si>
    <t>CIRS_NO_DATA_TIME_102</t>
  </si>
  <si>
    <t>CIRS_NO_DATA_TIME_103</t>
  </si>
  <si>
    <t>CIRS_NO_DATA_TIME_104</t>
  </si>
  <si>
    <t>CIRS_NO_DATA_TIME_105</t>
  </si>
  <si>
    <t>CIRS_NO_DATA_TIME_106</t>
  </si>
  <si>
    <t>CIRS_NO_DATA_TIME_107</t>
  </si>
  <si>
    <t>CIRS_NO_DATA_TIME_108</t>
  </si>
  <si>
    <t>CIRS_NO_DATA_TIME_109</t>
  </si>
  <si>
    <t>CIRS_NO_DATA_TIME_110</t>
  </si>
  <si>
    <t>CIRS_NO_DATA_TIME_111</t>
  </si>
  <si>
    <t>CIRS_NO_DATA_TIME_112</t>
  </si>
  <si>
    <t>CIRS_NO_DATA_TIME_113</t>
  </si>
  <si>
    <t>CIRS_NO_DATA_TIME_114</t>
  </si>
  <si>
    <t>CIRS_NO_DATA_TIME_115</t>
  </si>
  <si>
    <t>CIRS_NO_DATA_TIME_116</t>
  </si>
  <si>
    <t>CIRS_NO_DATA_TIME_117</t>
  </si>
  <si>
    <t>CIRS_NO_DATA_TIME_118</t>
  </si>
  <si>
    <t>CIRS_NO_DATA_TIME_119</t>
  </si>
  <si>
    <t>CIRS_NO_DATA_TIME_120</t>
  </si>
  <si>
    <t>CIRS_NO_DATA_TIME_121</t>
  </si>
  <si>
    <t>CIRS_NO_DATA_TIME_122</t>
  </si>
  <si>
    <t>CIRS_NO_DATA_TIME_123</t>
  </si>
  <si>
    <t>CIRS_NO_DATA_TIME_124</t>
  </si>
  <si>
    <t>CIRS_NO_DATA_TIME_126</t>
  </si>
  <si>
    <t>CIRS_NO_DATA_TIME_127</t>
  </si>
  <si>
    <t>CIRS_NO_DATA_TIME_128</t>
  </si>
  <si>
    <t>CIRS_NO_DATA_TIME_129</t>
  </si>
  <si>
    <t>CIRS_NO_DATA_TIME_130</t>
  </si>
  <si>
    <t>CIRS_NO_DATA_TIME_131</t>
  </si>
  <si>
    <t>CIRS_NO_DATA_TIME_132</t>
  </si>
  <si>
    <t>CIRS_NO_DATA_TIME_133</t>
  </si>
  <si>
    <t>CIRS_NO_DATA_TIME_134</t>
  </si>
  <si>
    <t>CIRS_NO_DATA_TIME_135</t>
  </si>
  <si>
    <t>CIRS_NO_DATA_TIME_136</t>
  </si>
  <si>
    <t>CIRS_NO_DATA_TIME_137</t>
  </si>
  <si>
    <t>CIRS_NO_DATA_TIME_138</t>
  </si>
  <si>
    <t>CIRS_NO_DATA_TIME_139</t>
  </si>
  <si>
    <t>CIRS_NO_DATA_TIME_140</t>
  </si>
  <si>
    <t>CIRS_NO_DATA_TIME_141</t>
  </si>
  <si>
    <t>CIRS_NO_DATA_TIME_142</t>
  </si>
  <si>
    <t>CIRS_NO_DATA_TIME_143</t>
  </si>
  <si>
    <t>CIRS_NO_DATA_TIME_144</t>
  </si>
  <si>
    <t>CIRS_NO_DATA_TIME_145</t>
  </si>
  <si>
    <t>CIRS_NO_DATA_TIME_146</t>
  </si>
  <si>
    <t>CIRS_NO_DATA_TIME_147</t>
  </si>
  <si>
    <t>CIRS_NO_DATA_TIME_148</t>
  </si>
  <si>
    <t>CIRS_NO_DATA_TIME_149</t>
  </si>
  <si>
    <t>CIRS_NO_DATA_TIME_150</t>
  </si>
  <si>
    <t>CIRS_NO_DATA_TIME_151</t>
  </si>
  <si>
    <t>CIRS_NO_DATA_TIME_152</t>
  </si>
  <si>
    <t>CIRS_NO_DATA_TIME_153</t>
  </si>
  <si>
    <t>CIRS_NO_DATA_TIME_154</t>
  </si>
  <si>
    <t>CIRS_NO_DATA_TIME_155</t>
  </si>
  <si>
    <t>CIRS_NO_DATA_TIME_156</t>
  </si>
  <si>
    <t>CIRS_NO_DATA_TIME_157</t>
  </si>
  <si>
    <t>CIRS_NO_DATA_TIME_158</t>
  </si>
  <si>
    <t>CIRS_NO_DATA_TIME_159</t>
  </si>
  <si>
    <t>CIRS_NO_DATA_TIME_160</t>
  </si>
  <si>
    <t>CIRS_NO_DATA_TIME_161</t>
  </si>
  <si>
    <t>CIRS_NO_DATA_TIME_162</t>
  </si>
  <si>
    <t>CIRS_NO_DATA_TIME_163</t>
  </si>
  <si>
    <t>CIRS_NO_DATA_TIME_164</t>
  </si>
  <si>
    <t>CIRS_NO_DATA_TIME_165</t>
  </si>
  <si>
    <t>CIRS_NO_DATA_TIME_166</t>
  </si>
  <si>
    <t>CIRS_NO_DATA_TIME_167</t>
  </si>
  <si>
    <t>CIRS_NO_DATA_TIME_168</t>
  </si>
  <si>
    <t>CIRS_NO_DATA_TIME_169</t>
  </si>
  <si>
    <t>CIRS_NO_DATA_TIME_170</t>
  </si>
  <si>
    <t xml:space="preserve">Day = </t>
  </si>
  <si>
    <t>Maximum number of loops:</t>
  </si>
  <si>
    <t>Maxium dead time:</t>
  </si>
  <si>
    <t>EM Test Results</t>
  </si>
  <si>
    <t>Extra Load Commands</t>
  </si>
  <si>
    <t>Removed Load Commands</t>
  </si>
  <si>
    <t>Notes</t>
  </si>
  <si>
    <t>Number of DSCALs</t>
  </si>
  <si>
    <t>Day</t>
  </si>
  <si>
    <t>Hours</t>
  </si>
  <si>
    <t>Total Data Volume:</t>
  </si>
  <si>
    <t>Mbits</t>
  </si>
  <si>
    <t>hh:mm::ss</t>
  </si>
  <si>
    <t xml:space="preserve">Total Duration of DSCALS </t>
  </si>
  <si>
    <t>(includes zero data volume requests)</t>
  </si>
  <si>
    <t>(excludes zero data volume requests)</t>
  </si>
  <si>
    <t>Data Volume Mbit</t>
  </si>
  <si>
    <t>Reuse tables</t>
  </si>
  <si>
    <t>Old Table #</t>
  </si>
  <si>
    <t>New Table #</t>
  </si>
  <si>
    <t>Data Mode</t>
  </si>
  <si>
    <t>Spectral Resolution</t>
  </si>
  <si>
    <t>FP3/4 Mode</t>
  </si>
  <si>
    <t>FPA Temperature (Set Point)</t>
  </si>
  <si>
    <t>RWA Analysis</t>
  </si>
  <si>
    <t>Guaranteed hh:mm:ss</t>
  </si>
  <si>
    <t>Extended hh:mm:ss</t>
  </si>
  <si>
    <t>Max Wheel Speed</t>
  </si>
  <si>
    <t>% Good data</t>
  </si>
  <si>
    <t>Total Possible CIRS Deep Space Time</t>
  </si>
  <si>
    <t>Total DSCALs</t>
  </si>
  <si>
    <t>DSCAL's Guaranteed</t>
  </si>
  <si>
    <t>DSCAL's Extended</t>
  </si>
  <si>
    <t>Short Deep Space Observations</t>
  </si>
  <si>
    <t>CIRS Observation time</t>
  </si>
  <si>
    <t>Ratio Observation / Good DSCAL</t>
  </si>
  <si>
    <t>Ratio Observation / Total DSCAL</t>
  </si>
  <si>
    <t>Total CIRS Time</t>
  </si>
  <si>
    <t>Number of Saturn requests/observations</t>
  </si>
  <si>
    <t>Total time:</t>
  </si>
  <si>
    <t>EM Time:</t>
  </si>
  <si>
    <t>Data or No Data</t>
  </si>
  <si>
    <t>Pixels</t>
  </si>
  <si>
    <t>Table ID</t>
  </si>
  <si>
    <t>Remove Table</t>
  </si>
  <si>
    <t>Support Imaging Request Name</t>
  </si>
  <si>
    <t>Number of Saturn Support Imaging Requests</t>
  </si>
  <si>
    <t>Number of Icy Satellite requests/observations</t>
  </si>
  <si>
    <t>Data or no data?</t>
  </si>
  <si>
    <t xml:space="preserve"> Table ID</t>
  </si>
  <si>
    <t>Continous in time check</t>
  </si>
  <si>
    <t>Trigger Strips</t>
  </si>
  <si>
    <t>Number of Titan requests/observations</t>
  </si>
  <si>
    <t>EM Time</t>
  </si>
  <si>
    <t>Removed Tables</t>
  </si>
  <si>
    <t>Number of Titan Suport Imaging Requests</t>
  </si>
  <si>
    <t>Data Rate Allocated</t>
  </si>
  <si>
    <t>Data Volume Allocated</t>
  </si>
  <si>
    <t>Data Rate Used</t>
  </si>
  <si>
    <t>Compression Factor</t>
  </si>
  <si>
    <t>Data Volume Calculated</t>
  </si>
  <si>
    <t>Seconds</t>
  </si>
  <si>
    <t>Number of Ring requests/observations</t>
  </si>
  <si>
    <t>Number of Ring Suport Imaging Requests</t>
  </si>
  <si>
    <t>Total on the SSR:</t>
  </si>
  <si>
    <t>Each SSR load command can hold</t>
  </si>
  <si>
    <t>table data words</t>
  </si>
  <si>
    <t>Needed for look-up table:</t>
  </si>
  <si>
    <t>Available for triggers:</t>
  </si>
  <si>
    <t>Sum</t>
  </si>
  <si>
    <t>Tables</t>
  </si>
  <si>
    <t>Extra</t>
  </si>
  <si>
    <t>Removed</t>
  </si>
  <si>
    <t>Saturn:</t>
  </si>
  <si>
    <t>Icy Satellites:</t>
  </si>
  <si>
    <t>Titan:</t>
  </si>
  <si>
    <t>Rings:</t>
  </si>
  <si>
    <t>DSCALs:</t>
  </si>
  <si>
    <t>Margin:</t>
  </si>
  <si>
    <t>(also number of ALF blocks)</t>
  </si>
  <si>
    <t>Words per ALF block:</t>
  </si>
  <si>
    <t>Number of words to be read in:</t>
  </si>
  <si>
    <t>Number of unique tables:</t>
  </si>
  <si>
    <t>Hk Packet cycle (s):</t>
  </si>
  <si>
    <t>Table load verifcation time (s):</t>
  </si>
  <si>
    <t>Table load verifcation time (hh::mm:ss):</t>
  </si>
  <si>
    <t>Ending Address:</t>
  </si>
  <si>
    <t>Compressed Load Size:</t>
  </si>
  <si>
    <t>Number of load commands:</t>
  </si>
  <si>
    <t xml:space="preserve"> </t>
  </si>
  <si>
    <t>CIRS_NO_DATA_TIME_171</t>
  </si>
  <si>
    <t>CIRS_NO_DATA_TIME_172</t>
  </si>
  <si>
    <t>CIRS_NO_DATA_TIME_173</t>
  </si>
  <si>
    <t>CIRS_NO_DATA_TIME_174</t>
  </si>
  <si>
    <t>CIRS_NO_DATA_TIME_175</t>
  </si>
  <si>
    <t>CIRS_NO_DATA_TIME_176</t>
  </si>
  <si>
    <t>Offset to no-data table</t>
  </si>
  <si>
    <t>Offset to table 60</t>
  </si>
  <si>
    <t>Duration of setup commands</t>
  </si>
  <si>
    <t>Hours in a day</t>
  </si>
  <si>
    <t>No Co-add</t>
  </si>
  <si>
    <t>Co-add</t>
  </si>
  <si>
    <t>Starting Address:</t>
  </si>
  <si>
    <t>Duration (Hours)</t>
  </si>
  <si>
    <t>N\A</t>
  </si>
  <si>
    <t>Table Loop Count</t>
  </si>
  <si>
    <t>Pre-Built Table Duration (Hours)</t>
  </si>
  <si>
    <t>Strip Trigger</t>
  </si>
  <si>
    <t>Closed Shutter Only?</t>
  </si>
  <si>
    <t>Computed Data Rate</t>
  </si>
  <si>
    <t>Table Data Rate</t>
  </si>
  <si>
    <t>CIMS Data Rate</t>
  </si>
  <si>
    <t>OK?</t>
  </si>
  <si>
    <t>Table</t>
  </si>
  <si>
    <t>Running Time</t>
  </si>
  <si>
    <t>RTI Delay</t>
  </si>
  <si>
    <t>Command Stem</t>
  </si>
  <si>
    <t>00:00:07.000</t>
  </si>
  <si>
    <t>/89SCI_SCAN</t>
  </si>
  <si>
    <t>IMMED</t>
  </si>
  <si>
    <t>NOADD</t>
  </si>
  <si>
    <t>NOPKTS</t>
  </si>
  <si>
    <t>F1NODATA</t>
  </si>
  <si>
    <t>F3NODATA</t>
  </si>
  <si>
    <t>F4NODATA</t>
  </si>
  <si>
    <t>F3EVEN</t>
  </si>
  <si>
    <t>F4EVEN</t>
  </si>
  <si>
    <t>00:00:08.000</t>
  </si>
  <si>
    <t>/89EXE_CMD_SEQ</t>
  </si>
  <si>
    <t>REL</t>
  </si>
  <si>
    <t>2000-000T00:00:00</t>
  </si>
  <si>
    <t>00:00:09.250</t>
  </si>
  <si>
    <t>336:00:18.250</t>
  </si>
  <si>
    <t>/89EXE_END_SEQUENCE</t>
  </si>
  <si>
    <t>00:00:01.000</t>
  </si>
  <si>
    <t>/89SCIENCE</t>
  </si>
  <si>
    <t>ON</t>
  </si>
  <si>
    <t>ENABLE</t>
  </si>
  <si>
    <t>00:00:02.000</t>
  </si>
  <si>
    <t>/89SME_ENABLE</t>
  </si>
  <si>
    <t>00:00:03.000</t>
  </si>
  <si>
    <t>/89RIE_LSRA_NOR</t>
  </si>
  <si>
    <t>00:00:04.000</t>
  </si>
  <si>
    <t>/89RIE_LED_NOR</t>
  </si>
  <si>
    <t>00:00:05.000</t>
  </si>
  <si>
    <t>/89SME_OPTICAL_S</t>
  </si>
  <si>
    <t>00:00:06.000</t>
  </si>
  <si>
    <t>/89SME_WH_NORMAL</t>
  </si>
  <si>
    <t>/89SHT_OPEN</t>
  </si>
  <si>
    <t>00:00:09.000</t>
  </si>
  <si>
    <t>Number of Icy Satellite Suport Imaging Requests</t>
  </si>
  <si>
    <t>Needed for no-data tables:</t>
  </si>
  <si>
    <t>Look-up table + triggers + no-data:</t>
  </si>
  <si>
    <t>Total for triggers:</t>
  </si>
  <si>
    <t>S97_START</t>
  </si>
  <si>
    <t>S97_END</t>
  </si>
  <si>
    <t/>
  </si>
  <si>
    <t>CIRS_249OT_SEQSETUP097_PRIME</t>
  </si>
  <si>
    <t>CIRS_249SA_MIRMAP001_PRIME</t>
  </si>
  <si>
    <t>Prime</t>
  </si>
  <si>
    <t>CIRS_FP3 to Saturn</t>
  </si>
  <si>
    <t>POS_Z to NSP</t>
  </si>
  <si>
    <t>CIRS_250SA_EUVFUV001_UVIS</t>
  </si>
  <si>
    <t>SPASS Rider</t>
  </si>
  <si>
    <t>CIRS_250IC_DSCAL16329_SP</t>
  </si>
  <si>
    <t>CIRS_250SA_NPOLEMAP001_VIMS</t>
  </si>
  <si>
    <t>CIRS_250IC_DSCAL16330_SP</t>
  </si>
  <si>
    <t>CIRS_250RI_ETACAROCC001_PRIME</t>
  </si>
  <si>
    <t xml:space="preserve">CIRS_FP3 to RA/Dec to  to </t>
  </si>
  <si>
    <t>POS_X to SC_N_Orbit_Pole</t>
  </si>
  <si>
    <t>CIRS_250RI_ETACAROCC001_SI</t>
  </si>
  <si>
    <t>CIRS_250DI_ICYLON001_UVIS</t>
  </si>
  <si>
    <t>CIRS_250TE_ICYLON001_UVIS</t>
  </si>
  <si>
    <t>CIRS_250EN_NORTHPOLE001_PRIME</t>
  </si>
  <si>
    <t>CIRS_FP3 to Enceladus</t>
  </si>
  <si>
    <t>POS_X to RA/Dec 191.5/34.4</t>
  </si>
  <si>
    <t>At 15.67 cm-1 wavenumber resolution; Data taken with FP1 and FP3 only (i.e. no FP4); NoAdd; FP3 is in blink mode.Shutter closed:01:00 to 01:0802:50 to 02:58</t>
  </si>
  <si>
    <t>CIRS_250EN_ENCELNPOL001_ISS</t>
  </si>
  <si>
    <t>At 15.67 cm-1 wavenumber resolution; Data taken with all focal planes; NoAdd; FP3 &amp; FP4 are in blink mode.Shutter closed times:06:02 to 06:0707:10 to 07:15</t>
  </si>
  <si>
    <t>CIRS_250EN_ENCELSPOL001_PRIME</t>
  </si>
  <si>
    <t>NEG_Z to Sun</t>
  </si>
  <si>
    <t>At 15.67 cm-1 wavenumber resolution; Data taken with all focal planes; NoAdd; FP3 &amp; FP4 are in blink mode.Shutter closed times:07:15 to 07:2507:50 to 07:5509:35 to 09:40.</t>
  </si>
  <si>
    <t>CIRS_250IC_DSCAL16332_SP</t>
  </si>
  <si>
    <t>CIRS_250IC_DSCAL16333_SP</t>
  </si>
  <si>
    <t>CIRS_250TI_GLOBMAP001_VIMS</t>
  </si>
  <si>
    <t>CIRS_250TI_GLOBMAP002_VIMS</t>
  </si>
  <si>
    <t>CIRS_250TI_MEDRES001_VIMS</t>
  </si>
  <si>
    <t>CIRS_250TI_REGMAP001_VIMS</t>
  </si>
  <si>
    <t>CIRS_250TI_REGMAP001_ISS</t>
  </si>
  <si>
    <t>CIRS_250TI_HIRES001_VIMS</t>
  </si>
  <si>
    <t>CIRS_250TI_FIRLMBT002_PRIME</t>
  </si>
  <si>
    <t>CIRS_FP1 to Titan</t>
  </si>
  <si>
    <t>PIC</t>
  </si>
  <si>
    <t>CIRS_250TI_FIRLMBAER002_PRIME</t>
  </si>
  <si>
    <t>CIRS_250TI_FIRLMBWTR001_PRIME</t>
  </si>
  <si>
    <t>CIRS_250TI_FIRNADMAP002_PRIME</t>
  </si>
  <si>
    <t>NEG_X to NTP</t>
  </si>
  <si>
    <t>CIRS_250TI_MIRLMBINT002_PRIME</t>
  </si>
  <si>
    <t>CIRS_FPB to Titan</t>
  </si>
  <si>
    <t>CIRS_250TI_FIRNADCMP002_PRIME</t>
  </si>
  <si>
    <t>CIRS_250TI_MIDIRTMAP002_PRIME</t>
  </si>
  <si>
    <t>Template M3?</t>
  </si>
  <si>
    <t>CIRS_250IC_DSCAL16335_SP</t>
  </si>
  <si>
    <t>CIRS_251SA_COMPSIT001_PRIME</t>
  </si>
  <si>
    <t>CIRS_FP1 to Saturn</t>
  </si>
  <si>
    <t>CIRS_251IC_DSCAL16336_SP</t>
  </si>
  <si>
    <t>CIRS_251SA_MIRMAP001_PRIME</t>
  </si>
  <si>
    <t>CIRS will absorb the turn time from the RBOT-friendly waypoint to the required POS_Z to NSP</t>
  </si>
  <si>
    <t>CIRS_251SA_EUVFUV001_UVIS</t>
  </si>
  <si>
    <t>CIRS_251IC_DSCAL16338_SP</t>
  </si>
  <si>
    <t>CIRS_251SA_NPOLMOV001_VIMS</t>
  </si>
  <si>
    <t>CIRS_251IC_DSCAL16339_SP</t>
  </si>
  <si>
    <t>CIRS_251EN_SPXREDTE001_PIE</t>
  </si>
  <si>
    <t>may also target red Tethys
ISS request on Tethys at 16:00 for ~10 minutes</t>
  </si>
  <si>
    <t>At 15.67 cm-1 wavenumber resolution; Data taken with all focal planes; NoAdd; FP3 &amp; FP4 are in blink mode.Shutter closed:15:55 to 15:5916:11 to 16:1417:01:00 to 17:02:3019:02 to 19:10</t>
  </si>
  <si>
    <t>CIRS_251IC_DSCAL16539_SP</t>
  </si>
  <si>
    <t>CIRS_251RI_PROPRETRG001_ISS</t>
  </si>
  <si>
    <t>CIRS_251RC_COMPUNLC1001_PRIME</t>
  </si>
  <si>
    <t>CIRS_FP1 to Rings</t>
  </si>
  <si>
    <t>POS_Z to RA/Dec 191.2/32.0</t>
  </si>
  <si>
    <t>No Preference to secondary pointing</t>
  </si>
  <si>
    <t>target C1 (r = 77,500 km)</t>
  </si>
  <si>
    <t>CIRS_251RC_COMPUNLC1001_SI</t>
  </si>
  <si>
    <t>CIRS_251IC_DSCAL16340_SP</t>
  </si>
  <si>
    <t>CIRS_251EN_PLUME001_ISS</t>
  </si>
  <si>
    <t>CIRS_251IC_DSCAL16341_SP</t>
  </si>
  <si>
    <t>CIRS_251IC_DSCAL16342_SP</t>
  </si>
  <si>
    <t>CIRS_252IC_DSCAL16348_SP</t>
  </si>
  <si>
    <t>CIRS_252IC_DSCAL16349_SP</t>
  </si>
  <si>
    <t>CIRS_252TI_COMPMAP001_PRIME</t>
  </si>
  <si>
    <t>POS_Z to NTP</t>
  </si>
  <si>
    <t>CIRS_FPB to 75N; arrays span 60N-90N</t>
  </si>
  <si>
    <t>CIRS_253TI_MIDIRTMAP001_PRIME</t>
  </si>
  <si>
    <t>Template A2: CIRS-ISS</t>
  </si>
  <si>
    <t>CIRS_253TI_CLOUD001_ISS</t>
  </si>
  <si>
    <t>CIRS_253TI_COMPMAP001_PRIME</t>
  </si>
  <si>
    <t>CIRS_FPB to 80N; arrays span 70N-90N; FP1 on disk</t>
  </si>
  <si>
    <t>CIRS_253TI_CLOUD002_ISS</t>
  </si>
  <si>
    <t>CIRS_253TI_MIDIRTMAP002_PRIME</t>
  </si>
  <si>
    <t>CIRS_253TI_CLOUD003_ISS</t>
  </si>
  <si>
    <t>CIRS_253TI_COMPMAP002_PRIME</t>
  </si>
  <si>
    <t>CIRS_FPB to 80N, CML+180; arrays span 90N-70N; FP1 on disk</t>
  </si>
  <si>
    <t>CIRS_253TI_LRMONITOR002_ISS</t>
  </si>
  <si>
    <t>CIRS_253TI_MIDIRTMAP003_PRIME</t>
  </si>
  <si>
    <t>CIRS_253TI_CLOUD004_ISS</t>
  </si>
  <si>
    <t>CIRS_253TI_MIDIRTMAP004_PRIME</t>
  </si>
  <si>
    <t>CIRS_253TI_CLOUD005_ISS</t>
  </si>
  <si>
    <t>CIRS_253IC_DSCAL16351_SP</t>
  </si>
  <si>
    <t>CIRS_253RF_FMOVIE001_ISS</t>
  </si>
  <si>
    <t>CIRS_253IC_DSCAL16352_SP</t>
  </si>
  <si>
    <t>CIRS_253TI_M90R1CLD353_ISS</t>
  </si>
  <si>
    <t>CIRS_253RI_ETACAROCC001_PRIME</t>
  </si>
  <si>
    <t>CIRS_253RI_ETACAROCC001_SI</t>
  </si>
  <si>
    <t>CIRS_253ST_BETCRURDI001_UVIS</t>
  </si>
  <si>
    <t>CIRS_253RI_RSCANLIT001_PIE</t>
  </si>
  <si>
    <t>POS_X to RA/Dec 191.0/32.0</t>
  </si>
  <si>
    <t>CIRS_253RI_RSCANLIT001_SI</t>
  </si>
  <si>
    <t>CIRS_253RI_HIRESAFRG001_ISS</t>
  </si>
  <si>
    <t>CIRS_253PA_PANDORA001_ISS</t>
  </si>
  <si>
    <t>CIRS_253RI_SUPRHRESU001_ISS</t>
  </si>
  <si>
    <t>CIRS_253RI_RSCANDRK001_PIE</t>
  </si>
  <si>
    <t>CIRS_253RI_RSCANDRK001_SI</t>
  </si>
  <si>
    <t>CIRS_253RI_PROPRETRG003_ISS</t>
  </si>
  <si>
    <t>CIRS_253RA_HALODARK001_PRIME</t>
  </si>
  <si>
    <t>CIRS_FP3 to Rings</t>
  </si>
  <si>
    <t>NEG_Z to RA/Dec 169.667/4.086</t>
  </si>
  <si>
    <t>target A ring halo (Janus 4:3) region</t>
  </si>
  <si>
    <t>CIRS_253RA_HALODARK001_SI</t>
  </si>
  <si>
    <t>CIRS_253IC_DSCAL16354_SP</t>
  </si>
  <si>
    <t>CIRS_253TI_M150R2HZ355_ISS</t>
  </si>
  <si>
    <t>CIRS_253RI_ALPORIOCC001_VIMS</t>
  </si>
  <si>
    <t>CIRS_253RA_COMPUNLA1001_PRIME</t>
  </si>
  <si>
    <t>POS_Z to RA/Dec 191.0/32.0</t>
  </si>
  <si>
    <t>target A1 region (r = 125,000 km)</t>
  </si>
  <si>
    <t>CIRS_253RI_COMPUNL001_SI</t>
  </si>
  <si>
    <t>CIRS_253IC_DSCAL16355_SP</t>
  </si>
  <si>
    <t>CIRS_253RI_FNTHPLE001_ISS</t>
  </si>
  <si>
    <t>CIRS_253IC_DSCAL16356_SP</t>
  </si>
  <si>
    <t>CIRS_254IC_DSCAL16357_SP</t>
  </si>
  <si>
    <t>CIRS_254RB_COMPLITB2001_PRIME</t>
  </si>
  <si>
    <t>POS_X to RA/Dec 7.2/-46.5</t>
  </si>
  <si>
    <t>target B2 (r = 101,500 km)</t>
  </si>
  <si>
    <t>CIRS_254RB_COMPLITB2001_SI</t>
  </si>
  <si>
    <t>CIRS_254OT_STRALTCAL019_PRIME</t>
  </si>
  <si>
    <t>CIRS_FPB to Retargetable</t>
  </si>
  <si>
    <t>This request may be moved, but I prefer that it be executed relatively early in this series of XD segments because CIRS has not had a STRALTCAL since late 2015.</t>
  </si>
  <si>
    <t>CIRS_254IC_DSCAL16358_SP</t>
  </si>
  <si>
    <t>CIRS_254IC_DSCAL16359_SP</t>
  </si>
  <si>
    <t>CIRS_254IC_DSCAL16360_SP</t>
  </si>
  <si>
    <t>CIRS_254TI_M120R2HZ360_ISS</t>
  </si>
  <si>
    <t>CIRS_254EN_SP002_PIE</t>
  </si>
  <si>
    <t>At 15.67 cm-1 wavenumber resolution; Data taken with all focal planes; NoAdd; FP3 &amp; FP4 are in blink mode.Shutter closed:03:00 to 03:01,03:41 to 03:43,06:18:10 to 06:20:20,08:10 to 08:20</t>
  </si>
  <si>
    <t>CIRS_254RA_HALODARK001_PRIME</t>
  </si>
  <si>
    <t>POS_Z to RA/Dec 290.208/2.258</t>
  </si>
  <si>
    <t>target A ring halo (Janus 5:4) region</t>
  </si>
  <si>
    <t>CIRS_254RA_COMPUNLA3001_PRIME</t>
  </si>
  <si>
    <t>target A3 region (r = 135,000 km)</t>
  </si>
  <si>
    <t>CIRS_254IC_DSCAL16362_SP</t>
  </si>
  <si>
    <t>CIRS_254IC_DSCAL16363_SP</t>
  </si>
  <si>
    <t>CIRS_255IC_DSCAL16365_SP</t>
  </si>
  <si>
    <t>CIRS_255TI_LRMONITOR001_ISS</t>
  </si>
  <si>
    <t>CIRS_255TI_LRMONITOR002_ISS</t>
  </si>
  <si>
    <t>CIRS_255TI_LRMONITOR003_ISS</t>
  </si>
  <si>
    <t>CIRS_255TI_LRMONITOR004_ISS</t>
  </si>
  <si>
    <t>CIRS_255TI_LRMONITOR005_ISS</t>
  </si>
  <si>
    <t>CIRS_255TI_LRMONITOR006_ISS</t>
  </si>
  <si>
    <t>CIRS_255IC_DSCAL17001_SP</t>
  </si>
  <si>
    <t>CIRS_255RI_HRESCOLBC001_ISS</t>
  </si>
  <si>
    <t>CIRS_255RI_GAMCRUOCC001_VIMS</t>
  </si>
  <si>
    <t>CIRS_255RA_HALOLIT001_PRIME</t>
  </si>
  <si>
    <t>NEG_Z to RA/Dec 290.427/2.234</t>
  </si>
  <si>
    <t>CIRS_255RA_HALOLIT001_SI</t>
  </si>
  <si>
    <t>CIRS_255RI_COMPLITB001_VIMS</t>
  </si>
  <si>
    <t>CIRS_255EN_SP003_PIE</t>
  </si>
  <si>
    <t>NEG_Z to NSP</t>
  </si>
  <si>
    <t>At 15.67 cm-1 wavenumber resolution; Data taken with all focal planes; NoAdd; FP3 &amp; FP4 are in blink mode.Shutter closed:10:38 to 10:4112:02 to 12:05</t>
  </si>
  <si>
    <t>CIRS_255RI_PROPRETRG003_ISS</t>
  </si>
  <si>
    <t>CIRS_255RI_HIRESAFRG001_ISS</t>
  </si>
  <si>
    <t>CIRS_255RI_CASDIVUNL001_PRIME</t>
  </si>
  <si>
    <t>POS_X to RA/Dec 177.3/14.0</t>
  </si>
  <si>
    <t>target Cassini Division (r = 120,000 km)</t>
  </si>
  <si>
    <t>CIRS_255RI_CASDIVUNL001_SI</t>
  </si>
  <si>
    <t>CIRS_255IC_DSCAL17003_SP</t>
  </si>
  <si>
    <t>CIRS_255RC_COMPUNLC1001_PRIME</t>
  </si>
  <si>
    <t>POS_Z to RA/Dec 190.0/32.0</t>
  </si>
  <si>
    <t>CIRS_255RC_COMPUNLC1001_SI</t>
  </si>
  <si>
    <t>CIRS_255RF_ANSASTARE001_PRIME</t>
  </si>
  <si>
    <t>CIRS_255RF_ANSASTARE001_SI</t>
  </si>
  <si>
    <t>CIRS_255RI_FNTHPLE001_ISS</t>
  </si>
  <si>
    <t>CIRS_255IC_DSCAL17004_SP</t>
  </si>
  <si>
    <t>CIRS_255RF_ANSASTARE002_PRIME</t>
  </si>
  <si>
    <t>POS_X to SSP</t>
  </si>
  <si>
    <t>CIRS_255RF_ANSASTARE002_SI</t>
  </si>
  <si>
    <t>CIRS_255IC_DSCAL17005_SP</t>
  </si>
  <si>
    <t>CIRS_256IC_DSCAL17006_SP</t>
  </si>
  <si>
    <t>CIRS_256RI_VYCMAOCC001_VIMS</t>
  </si>
  <si>
    <t>CIRS_256RA_COMPLITA2001_PRIME</t>
  </si>
  <si>
    <t>target A2 (r = 130,500 km)</t>
  </si>
  <si>
    <t>CIRS_256RA_COMPLITA2001_SI</t>
  </si>
  <si>
    <t>CIRS_256RF_FMOVIE001_ISS</t>
  </si>
  <si>
    <t>CIRS_256OT_SATELLORB001_ISS</t>
  </si>
  <si>
    <t>CIRS_256IC_DSCAL17008_SP</t>
  </si>
  <si>
    <t>CIRS_256RI_PROPRETRG001_ISS</t>
  </si>
  <si>
    <t>CIRS_256RI_HRESCOLBC001_ISS</t>
  </si>
  <si>
    <t>CIRS_256RI_URASPECA001_UVIS</t>
  </si>
  <si>
    <t>CIRS_256RI_HRRADSCNL001_ISS</t>
  </si>
  <si>
    <t>CIRS_256SA_AURSTARE001_UVIS</t>
  </si>
  <si>
    <t>CIRS_256RA_HALODARK001_PRIME</t>
  </si>
  <si>
    <t>NEG_Z to RA/Dec 200.453/6.072</t>
  </si>
  <si>
    <t>target A ring halo (Mimas 5:3) region, SHA ~300 deg.</t>
  </si>
  <si>
    <t>CIRS_256RA_HALODARK001_SI</t>
  </si>
  <si>
    <t>CIRS_256RI_HIRESAFRG002_ISS</t>
  </si>
  <si>
    <t>CIRS_256RI_ARCORBIT001_ISS</t>
  </si>
  <si>
    <t>CIRS_256IC_DSCAL17010_SP</t>
  </si>
  <si>
    <t>CIRS_256RI_ALPORIOCC001_VIMS</t>
  </si>
  <si>
    <t>CIRS_256TI_M150R2HZ010_ISS</t>
  </si>
  <si>
    <t>CIRS_256RI_HPMONITOR001_ISS</t>
  </si>
  <si>
    <t>CIRS_256IC_DSCAL17011_SP</t>
  </si>
  <si>
    <t>CIRS_256TI_M120R2HZ011_ISS</t>
  </si>
  <si>
    <t>CIRS_256SA_EUVFUV001_UVIS</t>
  </si>
  <si>
    <t>CIRS_256IC_DSCAL17012_SP</t>
  </si>
  <si>
    <t>CIRS_257TI_M120R2HZ013_ISS</t>
  </si>
  <si>
    <t>CIRS_257SA_COMPSIT001_PRIME</t>
  </si>
  <si>
    <t>CIRS_257IC_DSCAL17013_SP</t>
  </si>
  <si>
    <t>CIRS_257SA_NHEMMAP001_VIMS</t>
  </si>
  <si>
    <t>CIRS_257SA_AURDSTARE001_UVIS</t>
  </si>
  <si>
    <t>CIRS_257SA_AURSLEW001_UVIS</t>
  </si>
  <si>
    <t>CIRS_257SA_NPOLMOV001_VIMS</t>
  </si>
  <si>
    <t>CIRS_257IC_DSCAL17015_SP</t>
  </si>
  <si>
    <t>CIRS_257SA_NPOLMAP001_VIMS</t>
  </si>
  <si>
    <t>CIRS_257SA_LIMBMAP001_PRIME</t>
  </si>
  <si>
    <t>CIRS_FPB to Saturn</t>
  </si>
  <si>
    <t>NEG_X to NSP</t>
  </si>
  <si>
    <t>CIRS_257DA_DAPHNIS001_ISS</t>
  </si>
  <si>
    <t>At 15.67 cm-1 wavenumber resolution; Data taken with all focal planes; NoAdd; FP3 &amp; FP4 are in blink mode.Shutter closed times:11:35 to 11:4013:15 to 13:2013:55 to 14:00</t>
  </si>
  <si>
    <t>CIRS_257SA_SHEMHIRES001_VIMS</t>
  </si>
  <si>
    <t>CIRS_257SA_LIMBINT001_PIE</t>
  </si>
  <si>
    <t>CIRS_257SA_SPOLMAP001_VIMS</t>
  </si>
  <si>
    <t>CIRS_257SA_SHEMMAP001_VIMS</t>
  </si>
  <si>
    <t>CIRS_257SA_SEQREGMAP001_VIMS</t>
  </si>
  <si>
    <t>CIRS_257SA_AURSTARE002_UVIS</t>
  </si>
  <si>
    <t>CIRS_257IC_DSCAL17017_SP</t>
  </si>
  <si>
    <t>CIRS_257SA_EUVFUV001_UVIS</t>
  </si>
  <si>
    <t>CIRS_257IC_DSCAL17018_SP</t>
  </si>
  <si>
    <t>CIRS_257SA_FIRMAP001_PRIME</t>
  </si>
  <si>
    <t>CIRS_257IC_DSCAL17019_SP</t>
  </si>
  <si>
    <t>CIRS_258IC_DSCAL17020_SP</t>
  </si>
  <si>
    <t>CIRS_258SA_EUVFUV001_UVIS</t>
  </si>
  <si>
    <t>CIRS_258IC_DSCAL17021_SP</t>
  </si>
  <si>
    <t>CIRS_258SA_EUVFUV002_UVIS</t>
  </si>
  <si>
    <t>CIRS_258IC_DSCAL17022_SP</t>
  </si>
  <si>
    <t>CIRS_258SA_AURSLEW001_UVIS</t>
  </si>
  <si>
    <t>CIRS_258SA_AURSTARE001_VIMS</t>
  </si>
  <si>
    <t>CIRS_258IC_DSCAL17024_SP</t>
  </si>
  <si>
    <t>CIRS_258IC_DSCAL17025_SP</t>
  </si>
  <si>
    <t>CIRS_258IC_DSCAL17026_SP</t>
  </si>
  <si>
    <t>CIRS_259IC_DSCAL17027_SP</t>
  </si>
  <si>
    <t>CIRS_259IC_DSCAL17028_SP</t>
  </si>
  <si>
    <t>CIRS_259TI_M90R2CLD029_ISS</t>
  </si>
  <si>
    <t>CIRS_259IC_DSCAL17029_SP</t>
  </si>
  <si>
    <t>CIRS_259EN_ENCELNPOL001_ISS</t>
  </si>
  <si>
    <t>CIRS_259TE_TETHYS001_ISS</t>
  </si>
  <si>
    <t>CIRS_259SA_AURSLEW001_UVIS</t>
  </si>
  <si>
    <t>CIRS_259TE_REDTETHYS001_ISS</t>
  </si>
  <si>
    <t>CIRS_259EP_EPIMETHEU001_ISS</t>
  </si>
  <si>
    <t>CIRS_259MI_MIMASSP001_ISS</t>
  </si>
  <si>
    <t>CIRS_259EN_SP004_PIE</t>
  </si>
  <si>
    <t xml:space="preserve">ISS_NAC to RA/Dec to  to </t>
  </si>
  <si>
    <t>At 15.67 cm-1 wavenumber resolution; Data taken with all focal planes; NoAdd; FP3 &amp; FP4 are in blink mode.Shutter closed:23:20 to 23:2501:24 to 01:2903:07 to 03:1204:50 to 04:5506:33 to 06:3807:58:30 to 08:00</t>
  </si>
  <si>
    <t>CIRS_259IC_DSCAL17031_SP</t>
  </si>
  <si>
    <t>CIRS_259RH_COMPGLBL001_PRIME</t>
  </si>
  <si>
    <t>CIRS_FP1 to Rhea</t>
  </si>
  <si>
    <t>NEG_Z to Earth</t>
  </si>
  <si>
    <t>CIRS_259IC_DSCAL17032_SP</t>
  </si>
  <si>
    <t>CIRS_259TI_LRMONITOR001_ISS</t>
  </si>
  <si>
    <t>CIRS_259TI_MIDIRTMAP001_PRIME</t>
  </si>
  <si>
    <t>CIRS_259TI_CLOUD001_ISS</t>
  </si>
  <si>
    <t>CIRS_259TI_COMPMAP001_PIE</t>
  </si>
  <si>
    <t>NEG_Z to NTP</t>
  </si>
  <si>
    <t>CIRS_FPB to 80S; arrays span 70S-90S; FP1 on disk</t>
  </si>
  <si>
    <t>CIRS_259TI_CLOUD002_ISS</t>
  </si>
  <si>
    <t>CIRS_259TI_MIRLMBMAP002_PRIME</t>
  </si>
  <si>
    <t>CIRS_259TI_CLOUD003_ISS</t>
  </si>
  <si>
    <t>CIRS_259TI_MIDIRTMAP002_PRIME</t>
  </si>
  <si>
    <t>CIRS_259TI_COMPMAP002_PRIME</t>
  </si>
  <si>
    <t>CIRS_FPB to 45S; arrays span 20S-90S</t>
  </si>
  <si>
    <t>CIRS_259TI_LRMONITOR002_ISS</t>
  </si>
  <si>
    <t>CIRS_259IC_DSCAL17033_SP</t>
  </si>
  <si>
    <t>CIRS_259IC_DSCAL17034_SP</t>
  </si>
  <si>
    <t>60</t>
  </si>
  <si>
    <t>1</t>
  </si>
  <si>
    <t>235,232,235</t>
  </si>
  <si>
    <t>1,1,1</t>
  </si>
  <si>
    <t>297,294,297</t>
  </si>
  <si>
    <t>234,231,234</t>
  </si>
  <si>
    <t>203,200,203</t>
  </si>
  <si>
    <t>234,231,234,231,234</t>
  </si>
  <si>
    <t>1,1,1,1,1</t>
  </si>
  <si>
    <t>209,206,209</t>
  </si>
  <si>
    <t>228,225,228</t>
  </si>
  <si>
    <t>228,225,228,225,228</t>
  </si>
  <si>
    <t>203,200,203,200,203</t>
  </si>
  <si>
    <t>210,207,210</t>
  </si>
  <si>
    <t>CIRS_NO_DATA_TIME_177</t>
  </si>
  <si>
    <t>CIRS_NO_DATA_TIME_178</t>
  </si>
  <si>
    <t>CIRS_NO_DATA_TIME_179</t>
  </si>
  <si>
    <t>CIRS_NO_DATA_TIME_180</t>
  </si>
  <si>
    <t>CIRS_NO_DATA_TIME_181</t>
  </si>
  <si>
    <t>CIRS_NO_DATA_TIME_182</t>
  </si>
  <si>
    <t>CIRS_NO_DATA_TIME_183</t>
  </si>
  <si>
    <t>CIRS_NO_DATA_TIME_184</t>
  </si>
  <si>
    <t>CIRS_NO_DATA_TIME_185</t>
  </si>
  <si>
    <t>CIRS_NO_DATA_TIME_186</t>
  </si>
  <si>
    <t>CIRS_NO_DATA_TIME_187</t>
  </si>
  <si>
    <t>CIRS_NO_DATA_TIME_188</t>
  </si>
  <si>
    <t>CIRS_NO_DATA_TIME_189</t>
  </si>
  <si>
    <t>CIRS_NO_DATA_TIME_190</t>
  </si>
  <si>
    <t>CIRS_NO_DATA_TIME_191</t>
  </si>
  <si>
    <t>CIRS_NO_DATA_TIME_192</t>
  </si>
  <si>
    <t>CIRS_NO_DATA_TIME_193</t>
  </si>
  <si>
    <t>CIRS_NO_DATA_TIME_194</t>
  </si>
  <si>
    <t>CIRS_NO_DATA_TIME_195</t>
  </si>
  <si>
    <t>Star Observations assigned to Saturn:</t>
  </si>
  <si>
    <t>Saturn Equator, North limb PIE</t>
  </si>
  <si>
    <t>Request</t>
  </si>
  <si>
    <t>Stuckee</t>
  </si>
  <si>
    <t>No data table SASF workbook edits</t>
  </si>
  <si>
    <t>Workbook - Paul</t>
  </si>
  <si>
    <t>SASF - Monte</t>
  </si>
  <si>
    <t>209,206,209,206,209,206,209,206,209</t>
  </si>
  <si>
    <t>50,10</t>
  </si>
  <si>
    <t>600,1</t>
  </si>
  <si>
    <t>Not Done</t>
  </si>
  <si>
    <t>Blink/Blink</t>
  </si>
  <si>
    <t>All focal planes, 15.67 cm-1, blink, no co-add</t>
  </si>
  <si>
    <t>Is:</t>
  </si>
  <si>
    <t>Should be:</t>
  </si>
  <si>
    <t>SASF - Shawn</t>
  </si>
  <si>
    <t>602,1</t>
  </si>
  <si>
    <t>228,225,205,202,225,228</t>
  </si>
  <si>
    <t>2.85 &amp; 15.67</t>
  </si>
  <si>
    <t>2.85 = Centers, 15.67 = Blink</t>
  </si>
  <si>
    <t>CIRS_NO_DATA_TIME_125_A</t>
  </si>
  <si>
    <t>CIRS_NO_DATA_TIME_125_B</t>
  </si>
  <si>
    <t>CIRS_256OT_INSTRESP001_RIDER </t>
  </si>
  <si>
    <t>CIRS Instrument Thermal Response, Performing raw sample dumps at elevated temperatures.</t>
  </si>
  <si>
    <t>CIRS_256OT_INSTRESP001_RIDER</t>
  </si>
  <si>
    <t>Status</t>
  </si>
  <si>
    <t>DONE</t>
  </si>
  <si>
    <t>NOT DONE</t>
  </si>
  <si>
    <t>604,1</t>
  </si>
  <si>
    <t>606,1</t>
  </si>
  <si>
    <t>Blink/</t>
  </si>
  <si>
    <t>FP1 Only</t>
  </si>
  <si>
    <t>Centers/</t>
  </si>
  <si>
    <t>Duration [hours]</t>
  </si>
  <si>
    <t>Max wheel rate</t>
  </si>
  <si>
    <t>Min wheel rate</t>
  </si>
  <si>
    <t>Time with rate &lt; 1250</t>
  </si>
  <si>
    <t>Time with rate &lt; 1350</t>
  </si>
  <si>
    <t>Time with rate &lt; 1450</t>
  </si>
  <si>
    <t>Time with rate &lt; 1600</t>
  </si>
  <si>
    <t>Time with rate &gt; 1600</t>
  </si>
  <si>
    <t>Total effective time</t>
  </si>
  <si>
    <t>Fraction of good data</t>
  </si>
  <si>
    <t>2016-328T05:48:00</t>
  </si>
  <si>
    <t>2016-328T05:50:00</t>
  </si>
  <si>
    <t>2016-328T07:59:00</t>
  </si>
  <si>
    <t>2016-329T05:59:00</t>
  </si>
  <si>
    <t>2016-329T10:10:00</t>
  </si>
  <si>
    <t>2016-329T18:33:00</t>
  </si>
  <si>
    <t>2016-329T21:43:00</t>
  </si>
  <si>
    <t>2016-330T05:43:00</t>
  </si>
  <si>
    <t>2016-330T15:23:00</t>
  </si>
  <si>
    <t>2016-330T18:33:00</t>
  </si>
  <si>
    <t>2016-330T21:43:00</t>
  </si>
  <si>
    <t>2016-331T05:43:00</t>
  </si>
  <si>
    <t>2016-331T08:43:00</t>
  </si>
  <si>
    <t>2016-331T20:00:00</t>
  </si>
  <si>
    <t>2016-331T22:30:00</t>
  </si>
  <si>
    <t>2016-332T01:00:00</t>
  </si>
  <si>
    <t>2016-332T03:00:00</t>
  </si>
  <si>
    <t>2016-332T05:29:00</t>
  </si>
  <si>
    <t>2016-332T07:15:00</t>
  </si>
  <si>
    <t>2016-332T09:55:00</t>
  </si>
  <si>
    <t>2016-332T11:15:00</t>
  </si>
  <si>
    <t>2016-333T04:00:00</t>
  </si>
  <si>
    <t>2016-333T22:28:00</t>
  </si>
  <si>
    <t>2016-334T05:28:00</t>
  </si>
  <si>
    <t>2016-334T06:17:12</t>
  </si>
  <si>
    <t>2016-334T08:14:32</t>
  </si>
  <si>
    <t>2016-334T13:14:32</t>
  </si>
  <si>
    <t>2016-334T17:14:32</t>
  </si>
  <si>
    <t>2016-334T19:59:32</t>
  </si>
  <si>
    <t>2016-334T21:44:32</t>
  </si>
  <si>
    <t>2016-334T22:29:32</t>
  </si>
  <si>
    <t>2016-334T22:59:32</t>
  </si>
  <si>
    <t>2016-334T23:29:32</t>
  </si>
  <si>
    <t>2016-335T00:29:32</t>
  </si>
  <si>
    <t>2016-335T03:14:32</t>
  </si>
  <si>
    <t>2016-335T07:14:32</t>
  </si>
  <si>
    <t>2016-335T11:14:32</t>
  </si>
  <si>
    <t>2016-335T17:48:00</t>
  </si>
  <si>
    <t>2016-335T21:13:00</t>
  </si>
  <si>
    <t>2016-336T09:13:00</t>
  </si>
  <si>
    <t>2016-336T09:53:00</t>
  </si>
  <si>
    <t>2016-336T18:11:00</t>
  </si>
  <si>
    <t>2016-336T21:21:00</t>
  </si>
  <si>
    <t>2016-337T05:21:00</t>
  </si>
  <si>
    <t>2016-337T06:01:00</t>
  </si>
  <si>
    <t>2016-337T17:33:00</t>
  </si>
  <si>
    <t>2016-337T22:33:00</t>
  </si>
  <si>
    <t>2016-338T05:13:00</t>
  </si>
  <si>
    <t>2016-338T14:58:00</t>
  </si>
  <si>
    <t>2016-338T15:38:00</t>
  </si>
  <si>
    <t>2016-339T00:38:00</t>
  </si>
  <si>
    <t>2016-339T10:13:00</t>
  </si>
  <si>
    <t>2016-339T14:58:00</t>
  </si>
  <si>
    <t>2016-339T19:13:00</t>
  </si>
  <si>
    <t>2016-339T20:13:00</t>
  </si>
  <si>
    <t>2016-340T04:13:00</t>
  </si>
  <si>
    <t>2016-340T13:08:00</t>
  </si>
  <si>
    <t>2016-340T14:08:00</t>
  </si>
  <si>
    <t>2016-340T18:08:00</t>
  </si>
  <si>
    <t>2016-340T21:06:00</t>
  </si>
  <si>
    <t>2016-341T05:06:00</t>
  </si>
  <si>
    <t>2016-341T07:16:00</t>
  </si>
  <si>
    <t>2016-341T16:16:00</t>
  </si>
  <si>
    <t>2016-341T20:56:00</t>
  </si>
  <si>
    <t>2016-342T04:56:00</t>
  </si>
  <si>
    <t>2016-342T21:06:00</t>
  </si>
  <si>
    <t>2016-343T05:06:00</t>
  </si>
  <si>
    <t>2016-348T20:43:00</t>
  </si>
  <si>
    <t>2016-349T04:43:00</t>
  </si>
  <si>
    <t>2016-349T20:36:00</t>
  </si>
  <si>
    <t>2016-350T04:36:00</t>
  </si>
  <si>
    <t>2016-350T06:16:00</t>
  </si>
  <si>
    <t>2016-350T10:16:00</t>
  </si>
  <si>
    <t>2016-350T16:21:00</t>
  </si>
  <si>
    <t>2016-350T17:21:00</t>
  </si>
  <si>
    <t>2016-350T21:21:00</t>
  </si>
  <si>
    <t>2016-350T22:21:00</t>
  </si>
  <si>
    <t>2016-351T02:21:00</t>
  </si>
  <si>
    <t>2016-351T03:21:00</t>
  </si>
  <si>
    <t>2016-351T04:51:00</t>
  </si>
  <si>
    <t>2016-351T05:51:00</t>
  </si>
  <si>
    <t>2016-351T07:21:00</t>
  </si>
  <si>
    <t>2016-351T08:21:00</t>
  </si>
  <si>
    <t>2016-351T10:33:00</t>
  </si>
  <si>
    <t>2016-351T11:33:00</t>
  </si>
  <si>
    <t>2016-351T14:43:00</t>
  </si>
  <si>
    <t>2016-351T21:43:00</t>
  </si>
  <si>
    <t>2016-352T16:43:00</t>
  </si>
  <si>
    <t>2016-352T19:33:00</t>
  </si>
  <si>
    <t>2016-353T03:18:00</t>
  </si>
  <si>
    <t>2016-353T04:13:00</t>
  </si>
  <si>
    <t>2016-353T06:13:00</t>
  </si>
  <si>
    <t>2016-353T10:48:00</t>
  </si>
  <si>
    <t>2016-353T14:33:00</t>
  </si>
  <si>
    <t>2016-353T18:28:00</t>
  </si>
  <si>
    <t>2016-353T19:59:00</t>
  </si>
  <si>
    <t>2016-353T21:54:00</t>
  </si>
  <si>
    <t>2016-353T23:21:00</t>
  </si>
  <si>
    <t>2016-354T03:21:00</t>
  </si>
  <si>
    <t>2016-354T04:21:00</t>
  </si>
  <si>
    <t>2016-354T08:21:00</t>
  </si>
  <si>
    <t>2016-354T21:49:00</t>
  </si>
  <si>
    <t>2016-355T06:09:00</t>
  </si>
  <si>
    <t>2016-355T06:49:00</t>
  </si>
  <si>
    <t>2016-355T08:19:00</t>
  </si>
  <si>
    <t>2016-355T12:35:00</t>
  </si>
  <si>
    <t>2016-355T17:35:00</t>
  </si>
  <si>
    <t>2016-355T20:46:00</t>
  </si>
  <si>
    <t>2016-356T04:11:00</t>
  </si>
  <si>
    <t>2016-356T04:36:00</t>
  </si>
  <si>
    <t>2016-356T17:51:00</t>
  </si>
  <si>
    <t>2016-356T20:21:00</t>
  </si>
  <si>
    <t>2016-357T04:21:00</t>
  </si>
  <si>
    <t>2016-357T20:13:00</t>
  </si>
  <si>
    <t>2016-358T04:13:00</t>
  </si>
  <si>
    <t>2016-358T10:13:00</t>
  </si>
  <si>
    <t>2016-358T18:13:00</t>
  </si>
  <si>
    <t>2016-358T19:58:00</t>
  </si>
  <si>
    <t>2016-359T03:58:00</t>
  </si>
  <si>
    <t>2016-359T19:58:00</t>
  </si>
  <si>
    <t>2016-360T03:58:00</t>
  </si>
  <si>
    <t>2016-360T09:15:00</t>
  </si>
  <si>
    <t>2016-360T10:15:00</t>
  </si>
  <si>
    <t>2016-360T10:55:00</t>
  </si>
  <si>
    <t>2016-360T12:25:00</t>
  </si>
  <si>
    <t>2016-361T03:00:00</t>
  </si>
  <si>
    <t>2016-361T08:30:00</t>
  </si>
  <si>
    <t>2016-361T12:23:00</t>
  </si>
  <si>
    <t>2016-361T16:23:00</t>
  </si>
  <si>
    <t>2016-362T07:14:00</t>
  </si>
  <si>
    <t>2016-362T12:59:00</t>
  </si>
  <si>
    <t>2016-363T19:51:00</t>
  </si>
  <si>
    <t>2016-364T03:51:00</t>
  </si>
  <si>
    <t>2016-365T06:44:00</t>
  </si>
  <si>
    <t>2016-365T13:14:00</t>
  </si>
  <si>
    <t>2016-365T21:31:00</t>
  </si>
  <si>
    <t>2016-366T02:31:00</t>
  </si>
  <si>
    <t>2016-366T07:31:00</t>
  </si>
  <si>
    <t>2016-366T12:31:00</t>
  </si>
  <si>
    <t>2016-366T17:31:00</t>
  </si>
  <si>
    <t>2016-366T22:31:00</t>
  </si>
  <si>
    <t>2016-366T23:22:00</t>
  </si>
  <si>
    <t>2017-001T02:32:00</t>
  </si>
  <si>
    <t>2017-001T05:29:00</t>
  </si>
  <si>
    <t>2017-001T14:06:00</t>
  </si>
  <si>
    <t>2017-001T18:11:00</t>
  </si>
  <si>
    <t>2017-001T21:35:00</t>
  </si>
  <si>
    <t>2017-002T01:27:00</t>
  </si>
  <si>
    <t>2017-002T04:27:00</t>
  </si>
  <si>
    <t>2017-002T10:00:00</t>
  </si>
  <si>
    <t>2017-002T12:30:00</t>
  </si>
  <si>
    <t>2017-002T12:40:00</t>
  </si>
  <si>
    <t>2017-002T14:40:00</t>
  </si>
  <si>
    <t>2017-002T17:40:00</t>
  </si>
  <si>
    <t>2017-002T22:40:00</t>
  </si>
  <si>
    <t>2017-003T06:59:00</t>
  </si>
  <si>
    <t>2017-003T12:59:00</t>
  </si>
  <si>
    <t>2017-003T22:09:00</t>
  </si>
  <si>
    <t>2017-004T02:09:00</t>
  </si>
  <si>
    <t>2017-004T12:00:00</t>
  </si>
  <si>
    <t>2017-004T19:49:00</t>
  </si>
  <si>
    <t>2017-004T21:29:00</t>
  </si>
  <si>
    <t>2017-005T05:29:00</t>
  </si>
  <si>
    <t>2017-005T06:59:00</t>
  </si>
  <si>
    <t>2017-005T16:51:00</t>
  </si>
  <si>
    <t>2017-005T19:21:00</t>
  </si>
  <si>
    <t>2017-006T03:21:00</t>
  </si>
  <si>
    <t>2017-006T18:30:00</t>
  </si>
  <si>
    <t>2017-007T02:30:00</t>
  </si>
  <si>
    <t>2017-007T03:10:00</t>
  </si>
  <si>
    <t>2017-007T11:45:00</t>
  </si>
  <si>
    <t>2017-007T17:45:00</t>
  </si>
  <si>
    <t>2017-008T09:30:00</t>
  </si>
  <si>
    <t>2017-008T10:20:00</t>
  </si>
  <si>
    <t>2017-008T13:14:00</t>
  </si>
  <si>
    <t>2017-008T21:14:00</t>
  </si>
  <si>
    <t>2017-008T23:43:00</t>
  </si>
  <si>
    <t>2017-009T00:31:00</t>
  </si>
  <si>
    <t>2017-009T01:31:00</t>
  </si>
  <si>
    <t>2017-009T03:30:00</t>
  </si>
  <si>
    <t>2017-009T06:00:00</t>
  </si>
  <si>
    <t>2017-009T08:20:00</t>
  </si>
  <si>
    <t>2017-009T09:55:00</t>
  </si>
  <si>
    <t>2017-009T11:00:00</t>
  </si>
  <si>
    <t>2017-009T15:00:00</t>
  </si>
  <si>
    <t>2017-009T21:00:00</t>
  </si>
  <si>
    <t>2017-010T00:36:00</t>
  </si>
  <si>
    <t>2017-010T01:16:00</t>
  </si>
  <si>
    <t>2017-010T13:14:00</t>
  </si>
  <si>
    <t>2017-010T19:32:00</t>
  </si>
  <si>
    <t>2017-010T20:00:00</t>
  </si>
  <si>
    <t>2017-011T00:36:00</t>
  </si>
  <si>
    <t>2017-011T02:06:00</t>
  </si>
  <si>
    <t>2017-011T10:04:00</t>
  </si>
  <si>
    <t>2017-011T13:14:00</t>
  </si>
  <si>
    <t>2017-011T20:25:00</t>
  </si>
  <si>
    <t>2017-011T21:05:00</t>
  </si>
  <si>
    <t>2017-011T22:35:00</t>
  </si>
  <si>
    <t>2017-012T15:57:00</t>
  </si>
  <si>
    <t>2017-012T19:07:00</t>
  </si>
  <si>
    <t>2017-013T03:07:00</t>
  </si>
  <si>
    <t>2017-013T03:47:00</t>
  </si>
  <si>
    <t>2017-013T05:17:00</t>
  </si>
  <si>
    <t>2017-013T06:57:00</t>
  </si>
  <si>
    <t>2017-013T15:49:00</t>
  </si>
  <si>
    <t>2017-013T18:59:00</t>
  </si>
  <si>
    <t>2017-014T02:59:00</t>
  </si>
  <si>
    <t>2017-014T05:09:00</t>
  </si>
  <si>
    <t>2017-014T10:50:00</t>
  </si>
  <si>
    <t>2017-014T16:50:00</t>
  </si>
  <si>
    <t>2017-014T22:50:00</t>
  </si>
  <si>
    <t>2017-015T09:50:00</t>
  </si>
  <si>
    <t>2017-015T13:00:00</t>
  </si>
  <si>
    <t>2017-015T18:08:00</t>
  </si>
  <si>
    <t>2017-016T01:34:00</t>
  </si>
  <si>
    <t>2017-016T05:33:00</t>
  </si>
  <si>
    <t>2017-016T11:33:00</t>
  </si>
  <si>
    <t>2017-016T14:03:00</t>
  </si>
  <si>
    <t>2017-016T17:31:00</t>
  </si>
  <si>
    <t>2017-016T21:31:00</t>
  </si>
  <si>
    <t>2017-017T00:00:00</t>
  </si>
  <si>
    <t>2017-017T01:35:00</t>
  </si>
  <si>
    <t>2017-017T04:00:00</t>
  </si>
  <si>
    <t>2017-017T05:32:00</t>
  </si>
  <si>
    <t>2017-017T07:07:00</t>
  </si>
  <si>
    <t>2017-017T17:00:00</t>
  </si>
  <si>
    <t>2017-017T23:21:00</t>
  </si>
  <si>
    <t>2017-018T00:01:00</t>
  </si>
  <si>
    <t>2017-018T14:59:00</t>
  </si>
  <si>
    <t>2017-018T18:09:00</t>
  </si>
  <si>
    <t>2017-019T02:09:00</t>
  </si>
  <si>
    <t>2017-019T02:49:00</t>
  </si>
  <si>
    <t>2017-019T15:27:00</t>
  </si>
  <si>
    <t>2017-019T18:37:00</t>
  </si>
  <si>
    <t>2017-020T02:37:00</t>
  </si>
  <si>
    <t>2017-020T18:38:00</t>
  </si>
  <si>
    <t>2017-021T02:38:00</t>
  </si>
  <si>
    <t>2017-021T04:48:00</t>
  </si>
  <si>
    <t>2017-021T15:20:00</t>
  </si>
  <si>
    <t>2017-021T18:30:00</t>
  </si>
  <si>
    <t>2017-022T02:30:00</t>
  </si>
  <si>
    <t>2017-022T04:40:00</t>
  </si>
  <si>
    <t>2017-022T13:20:00</t>
  </si>
  <si>
    <t>2017-022T16:30:00</t>
  </si>
  <si>
    <t>2017-023T04:15:00</t>
  </si>
  <si>
    <t>2017-023T04:55:00</t>
  </si>
  <si>
    <t>2017-023T15:05:00</t>
  </si>
  <si>
    <t>2017-023T19:05:00</t>
  </si>
  <si>
    <t>2017-024T02:57:00</t>
  </si>
  <si>
    <t>2017-024T18:00:00</t>
  </si>
  <si>
    <t>2017-025T02:15:00</t>
  </si>
  <si>
    <t>2017-025T12:15:00</t>
  </si>
  <si>
    <t>2017-025T19:45:00</t>
  </si>
  <si>
    <t>2017-026T18:16:00</t>
  </si>
  <si>
    <t>2017-027T02:16:00</t>
  </si>
  <si>
    <t>2017-027T18:08:00</t>
  </si>
  <si>
    <t>2017-028T02:08:00</t>
  </si>
  <si>
    <t>2017-028T18:08:00</t>
  </si>
  <si>
    <t>2017-029T02:08:00</t>
  </si>
  <si>
    <t>2017-029T03:38:00</t>
  </si>
  <si>
    <t>2017-029T16:24:00</t>
  </si>
  <si>
    <t>2017-030T03:38:00</t>
  </si>
  <si>
    <t>2017-030T06:18:00</t>
  </si>
  <si>
    <t>2017-030T07:45:00</t>
  </si>
  <si>
    <t>2017-030T18:45:00</t>
  </si>
  <si>
    <t>2017-030T19:22:00</t>
  </si>
  <si>
    <t>2017-030T21:12:00</t>
  </si>
  <si>
    <t>2017-030T23:20:00</t>
  </si>
  <si>
    <t>2017-031T08:00:00</t>
  </si>
  <si>
    <t>2017-031T09:16:00</t>
  </si>
  <si>
    <t>2017-031T11:16:00</t>
  </si>
  <si>
    <t>2017-031T16:16:00</t>
  </si>
  <si>
    <t>2017-032T04:46:00</t>
  </si>
  <si>
    <t>2017-032T07:39:00</t>
  </si>
  <si>
    <t>2017-032T08:19:00</t>
  </si>
  <si>
    <t>2017-032T09:19:00</t>
  </si>
  <si>
    <t>2017-032T13:06:00</t>
  </si>
  <si>
    <t>2017-032T14:06:00</t>
  </si>
  <si>
    <t>2017-032T19:21:00</t>
  </si>
  <si>
    <t>2017-032T20:21:00</t>
  </si>
  <si>
    <t>2017-033T01:36:00</t>
  </si>
  <si>
    <t>2017-033T02:36:00</t>
  </si>
  <si>
    <t>2017-033T09:36:00</t>
  </si>
  <si>
    <t>2017-033T15:21:00</t>
  </si>
  <si>
    <t>2017-033T16:21:00</t>
  </si>
  <si>
    <t>2017-033T18:01:00</t>
  </si>
  <si>
    <t>2017-034T03:39:00</t>
  </si>
  <si>
    <t>2017-034T04:39:00</t>
  </si>
  <si>
    <t>2017-034T07:05:00</t>
  </si>
  <si>
    <t>/89COMPOUND_SCAN</t>
  </si>
  <si>
    <t>F1DATA</t>
  </si>
  <si>
    <t>F3DATA</t>
  </si>
  <si>
    <t>F4DATA</t>
  </si>
  <si>
    <t>F3PAIR</t>
  </si>
  <si>
    <t>F4PAIR</t>
  </si>
  <si>
    <t>OPEN</t>
  </si>
  <si>
    <t>ALWAYS</t>
  </si>
  <si>
    <t>CLOSED</t>
  </si>
  <si>
    <t>ADD</t>
  </si>
  <si>
    <t>F3BLINK</t>
  </si>
  <si>
    <t>F4BLINK</t>
  </si>
  <si>
    <t>F3CENT</t>
  </si>
  <si>
    <t>F4CENT</t>
  </si>
  <si>
    <t>02:19:59.875</t>
  </si>
  <si>
    <t>02:24:59.875</t>
  </si>
  <si>
    <t>/89EXE_START_INTERNAL</t>
  </si>
  <si>
    <t>/89EXE_END_INTERNAL</t>
  </si>
  <si>
    <t>01:03:59.000</t>
  </si>
  <si>
    <t>01:03:57.500</t>
  </si>
  <si>
    <t>4f20</t>
  </si>
  <si>
    <t>/89DUMP_CODE</t>
  </si>
  <si>
    <t>01:03:55.500</t>
  </si>
  <si>
    <t>/89CDE_WRITE_DISABLE</t>
  </si>
  <si>
    <t>01:03:55.375</t>
  </si>
  <si>
    <t>/89PATCH_CODE</t>
  </si>
  <si>
    <t>/89CDE_WRITE_ENABLE</t>
  </si>
  <si>
    <t>01:00:28.875</t>
  </si>
  <si>
    <t>COMPRESSED</t>
  </si>
  <si>
    <t>/89FEE_DIAG_SUBSET</t>
  </si>
  <si>
    <t>00:59:58.875</t>
  </si>
  <si>
    <t>/89SHT_CLOSE</t>
  </si>
  <si>
    <t>00:56:32.375</t>
  </si>
  <si>
    <t>00:56:02.375</t>
  </si>
  <si>
    <t>00:52:35.875</t>
  </si>
  <si>
    <t>F4ODD</t>
  </si>
  <si>
    <t>F3ODD</t>
  </si>
  <si>
    <t>00:52:05.875</t>
  </si>
  <si>
    <t>00:48:39.375</t>
  </si>
  <si>
    <t>00:48:09.375</t>
  </si>
  <si>
    <t>00:44:42.875</t>
  </si>
  <si>
    <t>00:44:12.875</t>
  </si>
  <si>
    <t>00:40:46.375</t>
  </si>
  <si>
    <t>00:40:16.375</t>
  </si>
  <si>
    <t>00:36:49.875</t>
  </si>
  <si>
    <t>00:36:19.875</t>
  </si>
  <si>
    <t>00:32:53.375</t>
  </si>
  <si>
    <t>00:32:23.375</t>
  </si>
  <si>
    <t>00:28:56.875</t>
  </si>
  <si>
    <t>00:28:26.875</t>
  </si>
  <si>
    <t>00:25:00.375</t>
  </si>
  <si>
    <t>00:24:30.375</t>
  </si>
  <si>
    <t>00:21:03.875</t>
  </si>
  <si>
    <t>00:20:33.875</t>
  </si>
  <si>
    <t>00:17:07.375</t>
  </si>
  <si>
    <t>00:16:37.375</t>
  </si>
  <si>
    <t>00:13:10.875</t>
  </si>
  <si>
    <t>00:12:40.875</t>
  </si>
  <si>
    <t>00:09:14.375</t>
  </si>
  <si>
    <t>00:08:44.375</t>
  </si>
  <si>
    <t>00:05:17.875</t>
  </si>
  <si>
    <t>00:04:47.875</t>
  </si>
  <si>
    <t>00:01:21.375</t>
  </si>
  <si>
    <t>00:00:51.375</t>
  </si>
  <si>
    <t>00:00:03.375</t>
  </si>
  <si>
    <t>00:00:03.250</t>
  </si>
  <si>
    <t>00:00:01.250</t>
  </si>
  <si>
    <t>00:00:00.000</t>
  </si>
  <si>
    <t>07:58:40.000</t>
  </si>
  <si>
    <t>07:58:37.875</t>
  </si>
  <si>
    <t>/89TCM_FPA_TEMP</t>
  </si>
  <si>
    <t>04:51:40.125</t>
  </si>
  <si>
    <t>04:04:21.125</t>
  </si>
  <si>
    <t>03:46:21.125</t>
  </si>
  <si>
    <t>02:59:02.125</t>
  </si>
  <si>
    <t>02:59:01.875</t>
  </si>
  <si>
    <t>02:53:01.875</t>
  </si>
  <si>
    <t>02:47:01.875</t>
  </si>
  <si>
    <t>02:47:00.375</t>
  </si>
  <si>
    <t>02:29:00.375</t>
  </si>
  <si>
    <t>00:54:23.375</t>
  </si>
  <si>
    <t>00:47:23.375</t>
  </si>
  <si>
    <t>00:00:04.375</t>
  </si>
  <si>
    <t>00:23:39.000</t>
  </si>
  <si>
    <t>00:20:12.500</t>
  </si>
  <si>
    <t>00:19:42.500</t>
  </si>
  <si>
    <t>00:16:16.000</t>
  </si>
  <si>
    <t>00:15:46.000</t>
  </si>
  <si>
    <t>00:12:19.500</t>
  </si>
  <si>
    <t>00:11:49.500</t>
  </si>
  <si>
    <t>00:08:23.000</t>
  </si>
  <si>
    <t>00:07:53.000</t>
  </si>
  <si>
    <t>00:04:26.500</t>
  </si>
  <si>
    <t>00:03:56.500</t>
  </si>
  <si>
    <t>00:00:30.000</t>
  </si>
  <si>
    <t>04:51:41.125</t>
  </si>
  <si>
    <t>/89TCM_OPER_NOP</t>
  </si>
  <si>
    <t>05:24:41.125</t>
  </si>
  <si>
    <t>05:24:42.625</t>
  </si>
  <si>
    <t>05:30:42.625</t>
  </si>
  <si>
    <t>05:36:42.625</t>
  </si>
  <si>
    <t>05:36:42.875</t>
  </si>
  <si>
    <t>07:58:38.875</t>
  </si>
  <si>
    <t>/89TCM_OPER_OPER</t>
  </si>
  <si>
    <t>07:58:39.875</t>
  </si>
  <si>
    <t>07:58:42.000</t>
  </si>
  <si>
    <t>07:58:43.500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</si>
</sst>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h:mm:ss;@"/>
    <numFmt numFmtId="165" formatCode="mm/dd/yyyy"/>
    <numFmt numFmtId="166" formatCode="[h]:mm:ss;@"/>
    <numFmt numFmtId="167" formatCode="0.0%"/>
    <numFmt numFmtId="168" formatCode="m/dd/yyyy"/>
    <numFmt numFmtId="169" formatCode="mm/d/yyyy"/>
    <numFmt numFmtId="170" formatCode="0.0"/>
    <numFmt numFmtId="171" formatCode="_-* #,##0.00\ _D_M_-;\-* #,##0.00\ _D_M_-;_-* &quot;-&quot;??\ _D_M_-;_-@_-"/>
    <numFmt numFmtId="172" formatCode="[hh]:mm:ss"/>
  </numFmts>
  <fonts count="2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indexed="8"/>
      <name val="Wingdings"/>
      <charset val="2"/>
    </font>
    <font>
      <sz val="12"/>
      <name val="Wingdings"/>
      <charset val="2"/>
    </font>
    <font>
      <b/>
      <sz val="14"/>
      <color indexed="8"/>
      <name val="Wingdings"/>
      <charset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0">
    <xf numFmtId="0" fontId="0" fillId="0" borderId="0"/>
    <xf numFmtId="171" fontId="11" fillId="0" borderId="0" applyFont="0" applyFill="0" applyBorder="0" applyAlignment="0" applyProtection="0"/>
    <xf numFmtId="0" fontId="7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</cellStyleXfs>
  <cellXfs count="650">
    <xf numFmtId="0" fontId="0" fillId="0" borderId="0" xfId="0"/>
    <xf numFmtId="0" fontId="7" fillId="0" borderId="0" xfId="2"/>
    <xf numFmtId="0" fontId="7" fillId="0" borderId="1" xfId="2" applyBorder="1" applyAlignment="1">
      <alignment horizontal="center"/>
    </xf>
    <xf numFmtId="0" fontId="7" fillId="0" borderId="4" xfId="2" applyBorder="1"/>
    <xf numFmtId="0" fontId="7" fillId="0" borderId="5" xfId="2" applyBorder="1"/>
    <xf numFmtId="0" fontId="7" fillId="0" borderId="6" xfId="2" applyBorder="1"/>
    <xf numFmtId="0" fontId="7" fillId="0" borderId="1" xfId="2" applyBorder="1"/>
    <xf numFmtId="2" fontId="7" fillId="0" borderId="1" xfId="2" applyNumberFormat="1" applyBorder="1"/>
    <xf numFmtId="0" fontId="7" fillId="0" borderId="0" xfId="4" applyFont="1" applyFill="1" applyBorder="1" applyAlignment="1">
      <alignment horizontal="right" indent="1"/>
    </xf>
    <xf numFmtId="0" fontId="7" fillId="0" borderId="0" xfId="4" applyFont="1" applyFill="1" applyBorder="1" applyAlignment="1">
      <alignment horizontal="left" indent="1"/>
    </xf>
    <xf numFmtId="14" fontId="7" fillId="0" borderId="0" xfId="4" applyNumberFormat="1" applyFont="1" applyFill="1" applyBorder="1" applyAlignment="1">
      <alignment horizontal="right" indent="1"/>
    </xf>
    <xf numFmtId="1" fontId="7" fillId="0" borderId="0" xfId="4" applyNumberFormat="1" applyFont="1" applyFill="1" applyBorder="1" applyAlignment="1">
      <alignment horizontal="right" indent="1"/>
    </xf>
    <xf numFmtId="164" fontId="7" fillId="0" borderId="0" xfId="4" applyNumberFormat="1" applyFont="1" applyFill="1" applyBorder="1" applyAlignment="1">
      <alignment horizontal="right" indent="1"/>
    </xf>
    <xf numFmtId="2" fontId="7" fillId="0" borderId="0" xfId="4" applyNumberFormat="1" applyFont="1" applyFill="1" applyBorder="1" applyAlignment="1">
      <alignment horizontal="right" indent="1"/>
    </xf>
    <xf numFmtId="0" fontId="7" fillId="0" borderId="0" xfId="4" applyFont="1" applyFill="1"/>
    <xf numFmtId="0" fontId="7" fillId="0" borderId="0" xfId="4" applyFont="1" applyFill="1" applyAlignment="1">
      <alignment horizontal="right"/>
    </xf>
    <xf numFmtId="165" fontId="7" fillId="0" borderId="8" xfId="4" applyNumberFormat="1" applyFont="1" applyFill="1" applyBorder="1" applyAlignment="1">
      <alignment horizontal="center" vertical="center"/>
    </xf>
    <xf numFmtId="0" fontId="7" fillId="0" borderId="22" xfId="4" applyFont="1" applyFill="1" applyBorder="1" applyAlignment="1">
      <alignment horizontal="center" vertical="center"/>
    </xf>
    <xf numFmtId="0" fontId="7" fillId="0" borderId="9" xfId="4" applyFont="1" applyFill="1" applyBorder="1" applyAlignment="1">
      <alignment horizontal="center" vertical="center"/>
    </xf>
    <xf numFmtId="0" fontId="7" fillId="0" borderId="10" xfId="4" applyFont="1" applyFill="1" applyBorder="1" applyAlignment="1">
      <alignment horizontal="center" vertical="center"/>
    </xf>
    <xf numFmtId="0" fontId="7" fillId="0" borderId="8" xfId="4" applyFont="1" applyFill="1" applyBorder="1" applyAlignment="1">
      <alignment horizontal="center" vertical="center"/>
    </xf>
    <xf numFmtId="0" fontId="7" fillId="0" borderId="0" xfId="4" applyFont="1" applyFill="1" applyAlignment="1">
      <alignment horizontal="right" indent="1"/>
    </xf>
    <xf numFmtId="0" fontId="7" fillId="0" borderId="11" xfId="4" applyFont="1" applyFill="1" applyBorder="1"/>
    <xf numFmtId="0" fontId="7" fillId="0" borderId="15" xfId="4" applyFont="1" applyFill="1" applyBorder="1"/>
    <xf numFmtId="0" fontId="7" fillId="0" borderId="23" xfId="4" applyFont="1" applyFill="1" applyBorder="1" applyAlignment="1">
      <alignment horizontal="right"/>
    </xf>
    <xf numFmtId="0" fontId="7" fillId="0" borderId="13" xfId="4" applyFont="1" applyFill="1" applyBorder="1" applyAlignment="1">
      <alignment horizontal="right"/>
    </xf>
    <xf numFmtId="0" fontId="7" fillId="0" borderId="14" xfId="4" applyFont="1" applyFill="1" applyBorder="1" applyAlignment="1">
      <alignment horizontal="right"/>
    </xf>
    <xf numFmtId="1" fontId="7" fillId="0" borderId="15" xfId="4" applyNumberFormat="1" applyFont="1" applyFill="1" applyBorder="1" applyAlignment="1">
      <alignment horizontal="right" indent="1"/>
    </xf>
    <xf numFmtId="0" fontId="7" fillId="0" borderId="14" xfId="4" applyFont="1" applyFill="1" applyBorder="1"/>
    <xf numFmtId="1" fontId="7" fillId="0" borderId="23" xfId="4" applyNumberFormat="1" applyFont="1" applyFill="1" applyBorder="1" applyAlignment="1">
      <alignment horizontal="right"/>
    </xf>
    <xf numFmtId="1" fontId="7" fillId="0" borderId="13" xfId="4" applyNumberFormat="1" applyFont="1" applyFill="1" applyBorder="1" applyAlignment="1">
      <alignment horizontal="right"/>
    </xf>
    <xf numFmtId="166" fontId="7" fillId="0" borderId="14" xfId="4" applyNumberFormat="1" applyFont="1" applyFill="1" applyBorder="1" applyAlignment="1">
      <alignment horizontal="right"/>
    </xf>
    <xf numFmtId="0" fontId="7" fillId="0" borderId="24" xfId="4" applyFont="1" applyFill="1" applyBorder="1"/>
    <xf numFmtId="0" fontId="7" fillId="0" borderId="25" xfId="4" applyFont="1" applyFill="1" applyBorder="1"/>
    <xf numFmtId="0" fontId="12" fillId="0" borderId="16" xfId="4" applyFont="1" applyFill="1" applyBorder="1"/>
    <xf numFmtId="14" fontId="7" fillId="0" borderId="4" xfId="4" applyNumberFormat="1" applyFont="1" applyFill="1" applyBorder="1" applyAlignment="1">
      <alignment horizontal="right" indent="1"/>
    </xf>
    <xf numFmtId="1" fontId="7" fillId="0" borderId="5" xfId="4" applyNumberFormat="1" applyFont="1" applyFill="1" applyBorder="1" applyAlignment="1">
      <alignment horizontal="right" indent="1"/>
    </xf>
    <xf numFmtId="164" fontId="7" fillId="0" borderId="18" xfId="4" applyNumberFormat="1" applyFont="1" applyFill="1" applyBorder="1" applyAlignment="1">
      <alignment horizontal="right" indent="1"/>
    </xf>
    <xf numFmtId="1" fontId="7" fillId="0" borderId="4" xfId="4" applyNumberFormat="1" applyFont="1" applyFill="1" applyBorder="1" applyAlignment="1">
      <alignment horizontal="right" indent="1"/>
    </xf>
    <xf numFmtId="0" fontId="7" fillId="0" borderId="26" xfId="4" applyFont="1" applyFill="1" applyBorder="1" applyAlignment="1">
      <alignment horizontal="right" indent="1"/>
    </xf>
    <xf numFmtId="0" fontId="7" fillId="0" borderId="5" xfId="4" applyFont="1" applyFill="1" applyBorder="1" applyAlignment="1">
      <alignment horizontal="right" indent="1"/>
    </xf>
    <xf numFmtId="1" fontId="7" fillId="0" borderId="16" xfId="4" applyNumberFormat="1" applyFont="1" applyFill="1" applyBorder="1" applyAlignment="1">
      <alignment horizontal="right" indent="1"/>
    </xf>
    <xf numFmtId="2" fontId="7" fillId="0" borderId="16" xfId="4" applyNumberFormat="1" applyFont="1" applyFill="1" applyBorder="1" applyAlignment="1">
      <alignment horizontal="right" indent="1"/>
    </xf>
    <xf numFmtId="0" fontId="7" fillId="0" borderId="16" xfId="4" applyFont="1" applyFill="1" applyBorder="1" applyAlignment="1">
      <alignment horizontal="right" indent="1"/>
    </xf>
    <xf numFmtId="0" fontId="7" fillId="0" borderId="18" xfId="4" applyFont="1" applyFill="1" applyBorder="1" applyAlignment="1">
      <alignment horizontal="right" indent="1"/>
    </xf>
    <xf numFmtId="0" fontId="7" fillId="0" borderId="16" xfId="4" applyFont="1" applyFill="1" applyBorder="1" applyAlignment="1">
      <alignment horizontal="left" indent="1"/>
    </xf>
    <xf numFmtId="14" fontId="7" fillId="0" borderId="17" xfId="4" applyNumberFormat="1" applyFont="1" applyFill="1" applyBorder="1" applyAlignment="1">
      <alignment horizontal="right" indent="1"/>
    </xf>
    <xf numFmtId="1" fontId="7" fillId="0" borderId="26" xfId="4" applyNumberFormat="1" applyFont="1" applyFill="1" applyBorder="1" applyAlignment="1">
      <alignment horizontal="right" indent="1"/>
    </xf>
    <xf numFmtId="0" fontId="13" fillId="0" borderId="16" xfId="4" applyFont="1" applyFill="1" applyBorder="1" applyAlignment="1">
      <alignment horizontal="right" indent="1"/>
    </xf>
    <xf numFmtId="164" fontId="7" fillId="0" borderId="0" xfId="4" applyNumberFormat="1" applyFont="1" applyFill="1"/>
    <xf numFmtId="0" fontId="12" fillId="0" borderId="20" xfId="4" applyFont="1" applyFill="1" applyBorder="1"/>
    <xf numFmtId="14" fontId="7" fillId="0" borderId="6" xfId="4" applyNumberFormat="1" applyFont="1" applyFill="1" applyBorder="1" applyAlignment="1">
      <alignment horizontal="right" indent="1"/>
    </xf>
    <xf numFmtId="0" fontId="7" fillId="0" borderId="1" xfId="4" applyFont="1" applyFill="1" applyBorder="1" applyAlignment="1">
      <alignment horizontal="right" indent="1"/>
    </xf>
    <xf numFmtId="164" fontId="7" fillId="0" borderId="19" xfId="4" applyNumberFormat="1" applyFont="1" applyFill="1" applyBorder="1" applyAlignment="1">
      <alignment horizontal="right" indent="1"/>
    </xf>
    <xf numFmtId="1" fontId="7" fillId="0" borderId="27" xfId="4" applyNumberFormat="1" applyFont="1" applyFill="1" applyBorder="1" applyAlignment="1">
      <alignment horizontal="right" indent="1"/>
    </xf>
    <xf numFmtId="164" fontId="7" fillId="0" borderId="21" xfId="4" applyNumberFormat="1" applyFont="1" applyFill="1" applyBorder="1" applyAlignment="1">
      <alignment horizontal="right" indent="1"/>
    </xf>
    <xf numFmtId="165" fontId="7" fillId="0" borderId="21" xfId="4" applyNumberFormat="1" applyFont="1" applyFill="1" applyBorder="1" applyAlignment="1">
      <alignment horizontal="right" indent="1"/>
    </xf>
    <xf numFmtId="0" fontId="7" fillId="0" borderId="21" xfId="4" applyFont="1" applyFill="1" applyBorder="1" applyAlignment="1">
      <alignment horizontal="right" indent="1"/>
    </xf>
    <xf numFmtId="2" fontId="7" fillId="0" borderId="21" xfId="4" applyNumberFormat="1" applyFont="1" applyFill="1" applyBorder="1" applyAlignment="1">
      <alignment horizontal="right" indent="1"/>
    </xf>
    <xf numFmtId="0" fontId="7" fillId="0" borderId="21" xfId="4" applyFont="1" applyFill="1" applyBorder="1"/>
    <xf numFmtId="164" fontId="7" fillId="0" borderId="21" xfId="4" applyNumberFormat="1" applyFont="1" applyFill="1" applyBorder="1"/>
    <xf numFmtId="164" fontId="7" fillId="0" borderId="0" xfId="4" applyNumberFormat="1" applyFont="1" applyFill="1" applyBorder="1"/>
    <xf numFmtId="21" fontId="7" fillId="0" borderId="0" xfId="4" applyNumberFormat="1" applyFont="1" applyFill="1" applyBorder="1"/>
    <xf numFmtId="1" fontId="7" fillId="0" borderId="0" xfId="4" applyNumberFormat="1" applyFont="1" applyFill="1" applyBorder="1"/>
    <xf numFmtId="0" fontId="7" fillId="0" borderId="0" xfId="4" applyFont="1" applyFill="1" applyBorder="1"/>
    <xf numFmtId="2" fontId="7" fillId="0" borderId="0" xfId="4" applyNumberFormat="1" applyFont="1" applyFill="1" applyBorder="1"/>
    <xf numFmtId="46" fontId="7" fillId="0" borderId="0" xfId="4" applyNumberFormat="1" applyFont="1" applyFill="1"/>
    <xf numFmtId="2" fontId="7" fillId="0" borderId="0" xfId="4" applyNumberFormat="1" applyFont="1" applyFill="1"/>
    <xf numFmtId="0" fontId="7" fillId="0" borderId="0" xfId="4" applyFont="1" applyFill="1" applyBorder="1" applyAlignment="1">
      <alignment horizontal="center" vertical="center"/>
    </xf>
    <xf numFmtId="1" fontId="7" fillId="0" borderId="0" xfId="4" applyNumberFormat="1" applyFont="1" applyFill="1"/>
    <xf numFmtId="0" fontId="13" fillId="0" borderId="0" xfId="4" applyFont="1" applyFill="1"/>
    <xf numFmtId="0" fontId="13" fillId="0" borderId="28" xfId="4" applyFont="1" applyFill="1" applyBorder="1"/>
    <xf numFmtId="0" fontId="7" fillId="0" borderId="29" xfId="4" applyFont="1" applyFill="1" applyBorder="1" applyAlignment="1">
      <alignment horizontal="right" indent="1"/>
    </xf>
    <xf numFmtId="0" fontId="7" fillId="0" borderId="20" xfId="4" applyFont="1" applyFill="1" applyBorder="1" applyAlignment="1">
      <alignment horizontal="left" indent="1"/>
    </xf>
    <xf numFmtId="0" fontId="13" fillId="0" borderId="30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 wrapText="1"/>
    </xf>
    <xf numFmtId="0" fontId="13" fillId="0" borderId="28" xfId="4" applyFont="1" applyFill="1" applyBorder="1" applyAlignment="1">
      <alignment horizontal="right" indent="1"/>
    </xf>
    <xf numFmtId="0" fontId="10" fillId="0" borderId="0" xfId="4" applyFont="1" applyFill="1" applyAlignment="1">
      <alignment horizontal="left" indent="1"/>
    </xf>
    <xf numFmtId="0" fontId="13" fillId="0" borderId="29" xfId="4" applyFont="1" applyFill="1" applyBorder="1" applyAlignment="1">
      <alignment horizontal="right" indent="1"/>
    </xf>
    <xf numFmtId="0" fontId="7" fillId="0" borderId="31" xfId="4" applyFont="1" applyFill="1" applyBorder="1" applyAlignment="1">
      <alignment horizontal="right" indent="1"/>
    </xf>
    <xf numFmtId="167" fontId="7" fillId="0" borderId="0" xfId="4" applyNumberFormat="1" applyFont="1" applyFill="1"/>
    <xf numFmtId="0" fontId="7" fillId="0" borderId="0" xfId="4" applyFont="1"/>
    <xf numFmtId="0" fontId="13" fillId="0" borderId="0" xfId="4" applyFont="1" applyFill="1" applyBorder="1"/>
    <xf numFmtId="0" fontId="13" fillId="0" borderId="0" xfId="4" applyFont="1" applyFill="1" applyAlignment="1">
      <alignment horizontal="right" indent="1"/>
    </xf>
    <xf numFmtId="0" fontId="13" fillId="0" borderId="0" xfId="4" applyFont="1" applyFill="1" applyAlignment="1">
      <alignment horizontal="right"/>
    </xf>
    <xf numFmtId="0" fontId="13" fillId="0" borderId="32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3" fillId="0" borderId="34" xfId="4" applyFont="1" applyFill="1" applyBorder="1" applyAlignment="1">
      <alignment horizontal="center" vertical="center"/>
    </xf>
    <xf numFmtId="0" fontId="13" fillId="0" borderId="35" xfId="4" applyFont="1" applyFill="1" applyBorder="1" applyAlignment="1">
      <alignment horizontal="center" vertical="center"/>
    </xf>
    <xf numFmtId="0" fontId="13" fillId="0" borderId="36" xfId="4" applyFont="1" applyFill="1" applyBorder="1" applyAlignment="1">
      <alignment horizontal="center" vertical="center"/>
    </xf>
    <xf numFmtId="1" fontId="7" fillId="0" borderId="0" xfId="4" applyNumberFormat="1" applyFont="1" applyFill="1" applyAlignment="1">
      <alignment horizontal="right" indent="1"/>
    </xf>
    <xf numFmtId="0" fontId="13" fillId="0" borderId="30" xfId="4" applyFont="1" applyFill="1" applyBorder="1"/>
    <xf numFmtId="168" fontId="13" fillId="0" borderId="37" xfId="4" applyNumberFormat="1" applyFont="1" applyFill="1" applyBorder="1" applyAlignment="1">
      <alignment horizontal="right" indent="1"/>
    </xf>
    <xf numFmtId="0" fontId="13" fillId="0" borderId="38" xfId="4" applyFont="1" applyFill="1" applyBorder="1" applyAlignment="1">
      <alignment horizontal="right"/>
    </xf>
    <xf numFmtId="0" fontId="13" fillId="0" borderId="39" xfId="4" applyFont="1" applyFill="1" applyBorder="1" applyAlignment="1">
      <alignment horizontal="right"/>
    </xf>
    <xf numFmtId="0" fontId="13" fillId="0" borderId="37" xfId="4" applyFont="1" applyFill="1" applyBorder="1" applyAlignment="1">
      <alignment horizontal="right"/>
    </xf>
    <xf numFmtId="0" fontId="13" fillId="0" borderId="39" xfId="4" applyFont="1" applyFill="1" applyBorder="1"/>
    <xf numFmtId="0" fontId="13" fillId="0" borderId="37" xfId="4" applyFont="1" applyFill="1" applyBorder="1"/>
    <xf numFmtId="1" fontId="13" fillId="0" borderId="38" xfId="4" applyNumberFormat="1" applyFont="1" applyFill="1" applyBorder="1" applyAlignment="1">
      <alignment horizontal="right"/>
    </xf>
    <xf numFmtId="166" fontId="13" fillId="0" borderId="39" xfId="4" applyNumberFormat="1" applyFont="1" applyFill="1" applyBorder="1" applyAlignment="1">
      <alignment horizontal="right"/>
    </xf>
    <xf numFmtId="0" fontId="13" fillId="0" borderId="40" xfId="4" applyFont="1" applyFill="1" applyBorder="1" applyAlignment="1">
      <alignment horizontal="right" indent="1"/>
    </xf>
    <xf numFmtId="164" fontId="13" fillId="0" borderId="41" xfId="4" applyNumberFormat="1" applyFont="1" applyFill="1" applyBorder="1"/>
    <xf numFmtId="14" fontId="13" fillId="0" borderId="40" xfId="4" applyNumberFormat="1" applyFont="1" applyFill="1" applyBorder="1" applyAlignment="1">
      <alignment horizontal="right" indent="1"/>
    </xf>
    <xf numFmtId="0" fontId="13" fillId="0" borderId="42" xfId="4" applyFont="1" applyFill="1" applyBorder="1"/>
    <xf numFmtId="0" fontId="13" fillId="0" borderId="41" xfId="4" applyFont="1" applyFill="1" applyBorder="1"/>
    <xf numFmtId="1" fontId="7" fillId="0" borderId="43" xfId="4" applyNumberFormat="1" applyFont="1" applyFill="1" applyBorder="1" applyAlignment="1">
      <alignment horizontal="right" indent="1"/>
    </xf>
    <xf numFmtId="164" fontId="7" fillId="0" borderId="44" xfId="4" applyNumberFormat="1" applyFont="1" applyFill="1" applyBorder="1" applyAlignment="1">
      <alignment horizontal="right" indent="1"/>
    </xf>
    <xf numFmtId="14" fontId="7" fillId="0" borderId="43" xfId="4" applyNumberFormat="1" applyFont="1" applyFill="1" applyBorder="1" applyAlignment="1">
      <alignment horizontal="right" indent="1"/>
    </xf>
    <xf numFmtId="1" fontId="7" fillId="0" borderId="45" xfId="4" applyNumberFormat="1" applyFont="1" applyFill="1" applyBorder="1" applyAlignment="1">
      <alignment horizontal="right" indent="1"/>
    </xf>
    <xf numFmtId="1" fontId="7" fillId="0" borderId="46" xfId="4" applyNumberFormat="1" applyFont="1" applyFill="1" applyBorder="1" applyAlignment="1">
      <alignment horizontal="right" indent="1"/>
    </xf>
    <xf numFmtId="2" fontId="7" fillId="0" borderId="46" xfId="4" applyNumberFormat="1" applyFont="1" applyFill="1" applyBorder="1" applyAlignment="1">
      <alignment horizontal="right" indent="1"/>
    </xf>
    <xf numFmtId="1" fontId="7" fillId="0" borderId="47" xfId="4" applyNumberFormat="1" applyFont="1" applyFill="1" applyBorder="1" applyAlignment="1">
      <alignment horizontal="right" indent="1"/>
    </xf>
    <xf numFmtId="164" fontId="7" fillId="0" borderId="48" xfId="4" applyNumberFormat="1" applyFont="1" applyFill="1" applyBorder="1" applyAlignment="1">
      <alignment horizontal="right" indent="1"/>
    </xf>
    <xf numFmtId="14" fontId="7" fillId="0" borderId="47" xfId="4" applyNumberFormat="1" applyFont="1" applyFill="1" applyBorder="1" applyAlignment="1">
      <alignment horizontal="right" indent="1"/>
    </xf>
    <xf numFmtId="1" fontId="7" fillId="0" borderId="49" xfId="4" applyNumberFormat="1" applyFont="1" applyFill="1" applyBorder="1" applyAlignment="1">
      <alignment horizontal="right" indent="1"/>
    </xf>
    <xf numFmtId="1" fontId="7" fillId="0" borderId="50" xfId="4" applyNumberFormat="1" applyFont="1" applyFill="1" applyBorder="1" applyAlignment="1">
      <alignment horizontal="right" indent="1"/>
    </xf>
    <xf numFmtId="2" fontId="7" fillId="0" borderId="50" xfId="4" applyNumberFormat="1" applyFont="1" applyFill="1" applyBorder="1" applyAlignment="1">
      <alignment horizontal="right" indent="1"/>
    </xf>
    <xf numFmtId="0" fontId="13" fillId="0" borderId="51" xfId="4" applyFont="1" applyFill="1" applyBorder="1"/>
    <xf numFmtId="164" fontId="13" fillId="0" borderId="51" xfId="4" applyNumberFormat="1" applyFont="1" applyFill="1" applyBorder="1" applyAlignment="1">
      <alignment horizontal="right"/>
    </xf>
    <xf numFmtId="165" fontId="13" fillId="0" borderId="51" xfId="4" applyNumberFormat="1" applyFont="1" applyFill="1" applyBorder="1" applyAlignment="1">
      <alignment horizontal="right"/>
    </xf>
    <xf numFmtId="0" fontId="13" fillId="0" borderId="51" xfId="4" applyFont="1" applyFill="1" applyBorder="1" applyAlignment="1">
      <alignment horizontal="right"/>
    </xf>
    <xf numFmtId="1" fontId="13" fillId="0" borderId="51" xfId="4" applyNumberFormat="1" applyFont="1" applyFill="1" applyBorder="1" applyAlignment="1">
      <alignment horizontal="right"/>
    </xf>
    <xf numFmtId="49" fontId="13" fillId="0" borderId="51" xfId="4" applyNumberFormat="1" applyFont="1" applyFill="1" applyBorder="1"/>
    <xf numFmtId="164" fontId="13" fillId="0" borderId="0" xfId="4" applyNumberFormat="1" applyFont="1" applyFill="1"/>
    <xf numFmtId="164" fontId="13" fillId="0" borderId="0" xfId="4" applyNumberFormat="1" applyFont="1" applyFill="1" applyAlignment="1">
      <alignment horizontal="right"/>
    </xf>
    <xf numFmtId="2" fontId="13" fillId="0" borderId="0" xfId="4" applyNumberFormat="1" applyFont="1" applyFill="1" applyAlignment="1">
      <alignment horizontal="right"/>
    </xf>
    <xf numFmtId="166" fontId="13" fillId="0" borderId="0" xfId="4" applyNumberFormat="1" applyFont="1" applyFill="1"/>
    <xf numFmtId="2" fontId="13" fillId="0" borderId="0" xfId="4" applyNumberFormat="1" applyFont="1" applyFill="1"/>
    <xf numFmtId="0" fontId="13" fillId="0" borderId="0" xfId="4" applyFont="1" applyFill="1" applyAlignment="1">
      <alignment horizontal="center"/>
    </xf>
    <xf numFmtId="1" fontId="13" fillId="0" borderId="0" xfId="4" applyNumberFormat="1" applyFont="1" applyFill="1"/>
    <xf numFmtId="165" fontId="7" fillId="0" borderId="0" xfId="4" applyNumberFormat="1" applyFont="1" applyFill="1" applyBorder="1" applyAlignment="1">
      <alignment horizontal="right"/>
    </xf>
    <xf numFmtId="0" fontId="13" fillId="0" borderId="0" xfId="4" applyFont="1" applyFill="1" applyBorder="1" applyAlignment="1">
      <alignment horizontal="right"/>
    </xf>
    <xf numFmtId="164" fontId="13" fillId="0" borderId="0" xfId="4" applyNumberFormat="1" applyFont="1" applyFill="1" applyBorder="1" applyAlignment="1">
      <alignment horizontal="right"/>
    </xf>
    <xf numFmtId="165" fontId="13" fillId="0" borderId="0" xfId="4" applyNumberFormat="1" applyFont="1" applyFill="1" applyBorder="1" applyAlignment="1">
      <alignment horizontal="right"/>
    </xf>
    <xf numFmtId="165" fontId="13" fillId="0" borderId="0" xfId="4" applyNumberFormat="1" applyFont="1" applyFill="1" applyBorder="1"/>
    <xf numFmtId="1" fontId="13" fillId="0" borderId="0" xfId="4" applyNumberFormat="1" applyFont="1" applyFill="1" applyBorder="1"/>
    <xf numFmtId="164" fontId="13" fillId="0" borderId="0" xfId="4" applyNumberFormat="1" applyFont="1" applyFill="1" applyBorder="1"/>
    <xf numFmtId="169" fontId="13" fillId="0" borderId="0" xfId="4" applyNumberFormat="1" applyFont="1" applyFill="1" applyBorder="1"/>
    <xf numFmtId="1" fontId="13" fillId="0" borderId="0" xfId="4" applyNumberFormat="1" applyFont="1" applyFill="1" applyBorder="1" applyAlignment="1">
      <alignment horizontal="right"/>
    </xf>
    <xf numFmtId="0" fontId="7" fillId="0" borderId="16" xfId="4" applyFont="1" applyFill="1" applyBorder="1" applyAlignment="1">
      <alignment horizontal="left"/>
    </xf>
    <xf numFmtId="1" fontId="13" fillId="0" borderId="28" xfId="4" applyNumberFormat="1" applyFont="1" applyFill="1" applyBorder="1"/>
    <xf numFmtId="1" fontId="13" fillId="0" borderId="28" xfId="4" applyNumberFormat="1" applyFont="1" applyFill="1" applyBorder="1" applyAlignment="1">
      <alignment horizontal="right" indent="1"/>
    </xf>
    <xf numFmtId="1" fontId="13" fillId="0" borderId="52" xfId="4" applyNumberFormat="1" applyFont="1" applyFill="1" applyBorder="1" applyAlignment="1">
      <alignment horizontal="right" indent="1"/>
    </xf>
    <xf numFmtId="1" fontId="13" fillId="0" borderId="53" xfId="4" applyNumberFormat="1" applyFont="1" applyFill="1" applyBorder="1" applyAlignment="1">
      <alignment horizontal="right" indent="1"/>
    </xf>
    <xf numFmtId="0" fontId="7" fillId="0" borderId="0" xfId="4" applyFont="1" applyFill="1" applyAlignment="1">
      <alignment horizontal="center"/>
    </xf>
    <xf numFmtId="21" fontId="7" fillId="0" borderId="0" xfId="4" applyNumberFormat="1" applyFont="1" applyFill="1"/>
    <xf numFmtId="164" fontId="7" fillId="0" borderId="0" xfId="4" applyNumberFormat="1" applyFont="1" applyFill="1" applyBorder="1" applyAlignment="1">
      <alignment horizontal="right"/>
    </xf>
    <xf numFmtId="165" fontId="7" fillId="0" borderId="33" xfId="4" applyNumberFormat="1" applyFont="1" applyFill="1" applyBorder="1" applyAlignment="1">
      <alignment horizontal="center" vertical="center"/>
    </xf>
    <xf numFmtId="0" fontId="7" fillId="0" borderId="34" xfId="4" applyFont="1" applyFill="1" applyBorder="1" applyAlignment="1">
      <alignment horizontal="center" vertical="center"/>
    </xf>
    <xf numFmtId="0" fontId="7" fillId="0" borderId="35" xfId="4" applyFont="1" applyFill="1" applyBorder="1" applyAlignment="1">
      <alignment horizontal="center" vertical="center"/>
    </xf>
    <xf numFmtId="0" fontId="7" fillId="0" borderId="36" xfId="4" applyFont="1" applyFill="1" applyBorder="1" applyAlignment="1">
      <alignment horizontal="center" vertical="center"/>
    </xf>
    <xf numFmtId="0" fontId="7" fillId="0" borderId="33" xfId="4" applyFont="1" applyFill="1" applyBorder="1" applyAlignment="1">
      <alignment horizontal="center" vertical="center" wrapText="1"/>
    </xf>
    <xf numFmtId="0" fontId="7" fillId="0" borderId="35" xfId="4" applyFont="1" applyFill="1" applyBorder="1" applyAlignment="1">
      <alignment horizontal="center" vertical="center" wrapText="1"/>
    </xf>
    <xf numFmtId="0" fontId="7" fillId="0" borderId="36" xfId="4" applyFont="1" applyFill="1" applyBorder="1" applyAlignment="1">
      <alignment horizontal="center" vertical="center" wrapText="1"/>
    </xf>
    <xf numFmtId="0" fontId="7" fillId="0" borderId="30" xfId="4" applyFont="1" applyFill="1" applyBorder="1" applyAlignment="1">
      <alignment horizontal="center" vertical="center"/>
    </xf>
    <xf numFmtId="165" fontId="7" fillId="0" borderId="37" xfId="4" applyNumberFormat="1" applyFont="1" applyFill="1" applyBorder="1" applyAlignment="1">
      <alignment horizontal="center" vertical="center"/>
    </xf>
    <xf numFmtId="0" fontId="7" fillId="0" borderId="38" xfId="4" applyFont="1" applyFill="1" applyBorder="1" applyAlignment="1">
      <alignment horizontal="center" vertical="center"/>
    </xf>
    <xf numFmtId="0" fontId="7" fillId="0" borderId="54" xfId="4" applyFont="1" applyFill="1" applyBorder="1" applyAlignment="1">
      <alignment horizontal="center" vertical="center"/>
    </xf>
    <xf numFmtId="165" fontId="7" fillId="0" borderId="55" xfId="4" applyNumberFormat="1" applyFont="1" applyFill="1" applyBorder="1" applyAlignment="1">
      <alignment horizontal="center" vertical="center"/>
    </xf>
    <xf numFmtId="0" fontId="7" fillId="0" borderId="39" xfId="4" applyFont="1" applyFill="1" applyBorder="1" applyAlignment="1">
      <alignment horizontal="center" vertical="center"/>
    </xf>
    <xf numFmtId="0" fontId="7" fillId="0" borderId="30" xfId="4" applyFont="1" applyFill="1" applyBorder="1" applyAlignment="1">
      <alignment horizontal="center" vertical="center" wrapText="1"/>
    </xf>
    <xf numFmtId="164" fontId="7" fillId="0" borderId="56" xfId="4" applyNumberFormat="1" applyFont="1" applyFill="1" applyBorder="1" applyAlignment="1">
      <alignment horizontal="right" indent="1"/>
    </xf>
    <xf numFmtId="166" fontId="7" fillId="0" borderId="40" xfId="4" applyNumberFormat="1" applyFont="1" applyFill="1" applyBorder="1"/>
    <xf numFmtId="166" fontId="7" fillId="0" borderId="41" xfId="4" applyNumberFormat="1" applyFont="1" applyFill="1" applyBorder="1"/>
    <xf numFmtId="14" fontId="7" fillId="0" borderId="26" xfId="4" applyNumberFormat="1" applyFont="1" applyFill="1" applyBorder="1" applyAlignment="1">
      <alignment horizontal="right" indent="1"/>
    </xf>
    <xf numFmtId="165" fontId="7" fillId="0" borderId="5" xfId="4" applyNumberFormat="1" applyFont="1" applyFill="1" applyBorder="1"/>
    <xf numFmtId="165" fontId="7" fillId="0" borderId="18" xfId="4" applyNumberFormat="1" applyFont="1" applyFill="1" applyBorder="1"/>
    <xf numFmtId="1" fontId="7" fillId="0" borderId="16" xfId="4" applyNumberFormat="1" applyFont="1" applyFill="1" applyBorder="1" applyAlignment="1">
      <alignment horizontal="left"/>
    </xf>
    <xf numFmtId="2" fontId="7" fillId="0" borderId="16" xfId="4" applyNumberFormat="1" applyFont="1" applyFill="1" applyBorder="1"/>
    <xf numFmtId="0" fontId="7" fillId="0" borderId="57" xfId="4" applyFont="1" applyFill="1" applyBorder="1" applyAlignment="1">
      <alignment horizontal="center" vertical="center"/>
    </xf>
    <xf numFmtId="0" fontId="7" fillId="0" borderId="57" xfId="4" applyFont="1" applyFill="1" applyBorder="1" applyAlignment="1">
      <alignment horizontal="center" vertical="center" wrapText="1"/>
    </xf>
    <xf numFmtId="0" fontId="7" fillId="0" borderId="57" xfId="4" applyFont="1" applyFill="1" applyBorder="1" applyAlignment="1">
      <alignment horizontal="right" vertical="center" wrapText="1" indent="1"/>
    </xf>
    <xf numFmtId="0" fontId="7" fillId="0" borderId="28" xfId="4" applyFont="1" applyFill="1" applyBorder="1" applyAlignment="1">
      <alignment horizontal="right" indent="1"/>
    </xf>
    <xf numFmtId="0" fontId="7" fillId="0" borderId="58" xfId="4" applyFont="1" applyFill="1" applyBorder="1" applyAlignment="1">
      <alignment horizontal="right" vertical="center" wrapText="1" indent="1"/>
    </xf>
    <xf numFmtId="165" fontId="7" fillId="0" borderId="0" xfId="4" applyNumberFormat="1" applyFont="1" applyFill="1" applyBorder="1"/>
    <xf numFmtId="166" fontId="7" fillId="0" borderId="0" xfId="4" applyNumberFormat="1" applyFont="1" applyFill="1"/>
    <xf numFmtId="0" fontId="11" fillId="0" borderId="0" xfId="4" applyFill="1"/>
    <xf numFmtId="0" fontId="13" fillId="0" borderId="0" xfId="4" applyFont="1"/>
    <xf numFmtId="166" fontId="7" fillId="0" borderId="18" xfId="4" applyNumberFormat="1" applyFont="1" applyFill="1" applyBorder="1" applyAlignment="1">
      <alignment horizontal="right" indent="1"/>
    </xf>
    <xf numFmtId="49" fontId="7" fillId="0" borderId="16" xfId="4" applyNumberFormat="1" applyFont="1" applyFill="1" applyBorder="1" applyAlignment="1">
      <alignment horizontal="left" indent="1"/>
    </xf>
    <xf numFmtId="49" fontId="7" fillId="0" borderId="4" xfId="4" applyNumberFormat="1" applyFont="1" applyFill="1" applyBorder="1" applyAlignment="1">
      <alignment horizontal="left" indent="1"/>
    </xf>
    <xf numFmtId="49" fontId="7" fillId="0" borderId="5" xfId="4" applyNumberFormat="1" applyFont="1" applyFill="1" applyBorder="1" applyAlignment="1">
      <alignment horizontal="left" indent="1"/>
    </xf>
    <xf numFmtId="0" fontId="7" fillId="0" borderId="18" xfId="4" applyFont="1" applyFill="1" applyBorder="1" applyAlignment="1">
      <alignment horizontal="left" wrapText="1" indent="1"/>
    </xf>
    <xf numFmtId="2" fontId="7" fillId="0" borderId="4" xfId="4" applyNumberFormat="1" applyFont="1" applyFill="1" applyBorder="1" applyAlignment="1">
      <alignment horizontal="left" indent="1"/>
    </xf>
    <xf numFmtId="0" fontId="7" fillId="0" borderId="5" xfId="4" applyFont="1" applyFill="1" applyBorder="1" applyAlignment="1">
      <alignment horizontal="left" indent="1"/>
    </xf>
    <xf numFmtId="164" fontId="13" fillId="0" borderId="0" xfId="4" applyNumberFormat="1" applyFont="1"/>
    <xf numFmtId="0" fontId="13" fillId="0" borderId="0" xfId="4" applyFont="1" applyFill="1" applyBorder="1" applyAlignment="1">
      <alignment horizontal="center" vertical="center"/>
    </xf>
    <xf numFmtId="0" fontId="11" fillId="0" borderId="0" xfId="4" applyFill="1" applyBorder="1" applyAlignment="1">
      <alignment horizontal="center" vertical="center"/>
    </xf>
    <xf numFmtId="0" fontId="13" fillId="0" borderId="0" xfId="4" applyFont="1" applyAlignment="1">
      <alignment horizontal="right" wrapText="1" indent="1"/>
    </xf>
    <xf numFmtId="0" fontId="13" fillId="0" borderId="0" xfId="4" applyFont="1" applyAlignment="1">
      <alignment horizontal="right" indent="1"/>
    </xf>
    <xf numFmtId="165" fontId="13" fillId="0" borderId="33" xfId="4" applyNumberFormat="1" applyFont="1" applyFill="1" applyBorder="1" applyAlignment="1">
      <alignment horizontal="center" vertical="center"/>
    </xf>
    <xf numFmtId="0" fontId="13" fillId="0" borderId="67" xfId="4" applyFont="1" applyFill="1" applyBorder="1" applyAlignment="1">
      <alignment horizontal="center" vertical="center"/>
    </xf>
    <xf numFmtId="165" fontId="13" fillId="0" borderId="68" xfId="4" applyNumberFormat="1" applyFont="1" applyFill="1" applyBorder="1" applyAlignment="1">
      <alignment horizontal="center" vertical="center"/>
    </xf>
    <xf numFmtId="0" fontId="13" fillId="0" borderId="69" xfId="4" applyFont="1" applyFill="1" applyBorder="1" applyAlignment="1">
      <alignment horizontal="center" vertical="center"/>
    </xf>
    <xf numFmtId="0" fontId="13" fillId="0" borderId="70" xfId="4" applyFont="1" applyFill="1" applyBorder="1" applyAlignment="1">
      <alignment horizontal="center" vertical="center"/>
    </xf>
    <xf numFmtId="166" fontId="13" fillId="0" borderId="30" xfId="4" applyNumberFormat="1" applyFont="1" applyFill="1" applyBorder="1" applyAlignment="1">
      <alignment horizontal="center" vertical="center"/>
    </xf>
    <xf numFmtId="165" fontId="13" fillId="0" borderId="37" xfId="4" applyNumberFormat="1" applyFont="1" applyFill="1" applyBorder="1" applyAlignment="1">
      <alignment horizontal="center" vertical="center"/>
    </xf>
    <xf numFmtId="0" fontId="13" fillId="0" borderId="38" xfId="4" applyFont="1" applyFill="1" applyBorder="1" applyAlignment="1">
      <alignment horizontal="center" vertical="center"/>
    </xf>
    <xf numFmtId="0" fontId="13" fillId="0" borderId="39" xfId="4" applyFont="1" applyFill="1" applyBorder="1" applyAlignment="1">
      <alignment horizontal="center" vertical="center"/>
    </xf>
    <xf numFmtId="0" fontId="13" fillId="0" borderId="37" xfId="4" applyFont="1" applyFill="1" applyBorder="1" applyAlignment="1">
      <alignment horizontal="center" vertical="center"/>
    </xf>
    <xf numFmtId="0" fontId="7" fillId="0" borderId="60" xfId="4" applyFont="1" applyFill="1" applyBorder="1" applyAlignment="1">
      <alignment horizontal="right" vertical="center" indent="1"/>
    </xf>
    <xf numFmtId="166" fontId="13" fillId="0" borderId="57" xfId="4" applyNumberFormat="1" applyFont="1" applyFill="1" applyBorder="1" applyAlignment="1">
      <alignment horizontal="center" vertical="center"/>
    </xf>
    <xf numFmtId="165" fontId="13" fillId="0" borderId="71" xfId="4" applyNumberFormat="1" applyFont="1" applyFill="1" applyBorder="1" applyAlignment="1">
      <alignment horizontal="center" vertical="center"/>
    </xf>
    <xf numFmtId="0" fontId="13" fillId="0" borderId="72" xfId="4" applyFont="1" applyFill="1" applyBorder="1" applyAlignment="1">
      <alignment horizontal="center" vertical="center"/>
    </xf>
    <xf numFmtId="0" fontId="13" fillId="0" borderId="73" xfId="4" applyFont="1" applyFill="1" applyBorder="1" applyAlignment="1">
      <alignment horizontal="center" vertical="center"/>
    </xf>
    <xf numFmtId="0" fontId="13" fillId="0" borderId="71" xfId="4" applyFont="1" applyFill="1" applyBorder="1" applyAlignment="1">
      <alignment horizontal="center" vertical="center"/>
    </xf>
    <xf numFmtId="0" fontId="7" fillId="0" borderId="74" xfId="4" applyFont="1" applyFill="1" applyBorder="1" applyAlignment="1">
      <alignment horizontal="right" vertical="center" indent="1"/>
    </xf>
    <xf numFmtId="2" fontId="7" fillId="0" borderId="4" xfId="4" applyNumberFormat="1" applyFont="1" applyFill="1" applyBorder="1" applyAlignment="1">
      <alignment horizontal="left" wrapText="1" indent="1"/>
    </xf>
    <xf numFmtId="0" fontId="7" fillId="0" borderId="5" xfId="4" applyFont="1" applyFill="1" applyBorder="1" applyAlignment="1">
      <alignment horizontal="left" wrapText="1" indent="1"/>
    </xf>
    <xf numFmtId="1" fontId="13" fillId="0" borderId="75" xfId="4" applyNumberFormat="1" applyFont="1" applyFill="1" applyBorder="1" applyAlignment="1">
      <alignment horizontal="right" wrapText="1" indent="1"/>
    </xf>
    <xf numFmtId="2" fontId="7" fillId="0" borderId="18" xfId="4" applyNumberFormat="1" applyFont="1" applyFill="1" applyBorder="1" applyAlignment="1">
      <alignment horizontal="left" wrapText="1" indent="1"/>
    </xf>
    <xf numFmtId="49" fontId="7" fillId="0" borderId="18" xfId="4" applyNumberFormat="1" applyFont="1" applyFill="1" applyBorder="1" applyAlignment="1">
      <alignment horizontal="left" indent="1"/>
    </xf>
    <xf numFmtId="49" fontId="7" fillId="0" borderId="76" xfId="4" applyNumberFormat="1" applyFont="1" applyFill="1" applyBorder="1" applyAlignment="1">
      <alignment horizontal="left" indent="1"/>
    </xf>
    <xf numFmtId="49" fontId="7" fillId="0" borderId="77" xfId="4" applyNumberFormat="1" applyFont="1" applyFill="1" applyBorder="1" applyAlignment="1">
      <alignment horizontal="left" indent="1"/>
    </xf>
    <xf numFmtId="49" fontId="7" fillId="0" borderId="78" xfId="4" applyNumberFormat="1" applyFont="1" applyFill="1" applyBorder="1" applyAlignment="1">
      <alignment horizontal="left" indent="1"/>
    </xf>
    <xf numFmtId="164" fontId="13" fillId="0" borderId="59" xfId="4" applyNumberFormat="1" applyFont="1" applyFill="1" applyBorder="1" applyAlignment="1">
      <alignment horizontal="right"/>
    </xf>
    <xf numFmtId="2" fontId="13" fillId="0" borderId="51" xfId="4" applyNumberFormat="1" applyFont="1" applyFill="1" applyBorder="1" applyAlignment="1">
      <alignment horizontal="right"/>
    </xf>
    <xf numFmtId="46" fontId="13" fillId="0" borderId="0" xfId="4" applyNumberFormat="1" applyFont="1" applyFill="1" applyAlignment="1">
      <alignment horizontal="right"/>
    </xf>
    <xf numFmtId="0" fontId="14" fillId="0" borderId="0" xfId="4" applyFont="1" applyFill="1" applyAlignment="1">
      <alignment horizontal="left" indent="1"/>
    </xf>
    <xf numFmtId="0" fontId="13" fillId="0" borderId="0" xfId="4" applyFont="1" applyFill="1" applyAlignment="1">
      <alignment horizontal="center" vertical="center"/>
    </xf>
    <xf numFmtId="0" fontId="13" fillId="0" borderId="38" xfId="4" applyFont="1" applyFill="1" applyBorder="1"/>
    <xf numFmtId="166" fontId="13" fillId="0" borderId="30" xfId="4" applyNumberFormat="1" applyFont="1" applyFill="1" applyBorder="1"/>
    <xf numFmtId="0" fontId="13" fillId="0" borderId="0" xfId="4" applyFont="1" applyFill="1" applyBorder="1" applyAlignment="1">
      <alignment horizontal="right" indent="1"/>
    </xf>
    <xf numFmtId="0" fontId="13" fillId="0" borderId="57" xfId="4" applyNumberFormat="1" applyFont="1" applyFill="1" applyBorder="1" applyAlignment="1">
      <alignment horizontal="left" indent="1"/>
    </xf>
    <xf numFmtId="0" fontId="13" fillId="0" borderId="58" xfId="4" applyFont="1" applyFill="1" applyBorder="1"/>
    <xf numFmtId="1" fontId="13" fillId="0" borderId="58" xfId="4" applyNumberFormat="1" applyFont="1" applyFill="1" applyBorder="1" applyAlignment="1">
      <alignment horizontal="right"/>
    </xf>
    <xf numFmtId="0" fontId="13" fillId="0" borderId="64" xfId="4" applyFont="1" applyFill="1" applyBorder="1" applyAlignment="1">
      <alignment horizontal="left" indent="1"/>
    </xf>
    <xf numFmtId="0" fontId="13" fillId="0" borderId="66" xfId="4" applyFont="1" applyFill="1" applyBorder="1" applyAlignment="1">
      <alignment horizontal="left" indent="1"/>
    </xf>
    <xf numFmtId="1" fontId="13" fillId="0" borderId="0" xfId="4" applyNumberFormat="1" applyFont="1" applyFill="1" applyAlignment="1">
      <alignment horizontal="right"/>
    </xf>
    <xf numFmtId="1" fontId="13" fillId="0" borderId="0" xfId="4" applyNumberFormat="1" applyFont="1" applyFill="1" applyAlignment="1">
      <alignment horizontal="center"/>
    </xf>
    <xf numFmtId="170" fontId="13" fillId="0" borderId="0" xfId="4" applyNumberFormat="1" applyFont="1" applyFill="1" applyAlignment="1">
      <alignment horizontal="right"/>
    </xf>
    <xf numFmtId="170" fontId="13" fillId="0" borderId="0" xfId="4" applyNumberFormat="1" applyFont="1" applyFill="1" applyAlignment="1">
      <alignment horizontal="center"/>
    </xf>
    <xf numFmtId="164" fontId="13" fillId="0" borderId="0" xfId="4" applyNumberFormat="1" applyFont="1" applyFill="1" applyAlignment="1">
      <alignment horizontal="center"/>
    </xf>
    <xf numFmtId="0" fontId="13" fillId="0" borderId="57" xfId="4" applyFont="1" applyFill="1" applyBorder="1"/>
    <xf numFmtId="165" fontId="13" fillId="0" borderId="71" xfId="4" applyNumberFormat="1" applyFont="1" applyFill="1" applyBorder="1"/>
    <xf numFmtId="0" fontId="13" fillId="0" borderId="72" xfId="4" applyFont="1" applyFill="1" applyBorder="1" applyAlignment="1">
      <alignment horizontal="right"/>
    </xf>
    <xf numFmtId="164" fontId="13" fillId="0" borderId="73" xfId="4" applyNumberFormat="1" applyFont="1" applyFill="1" applyBorder="1" applyAlignment="1">
      <alignment horizontal="right"/>
    </xf>
    <xf numFmtId="166" fontId="13" fillId="0" borderId="73" xfId="4" applyNumberFormat="1" applyFont="1" applyFill="1" applyBorder="1" applyAlignment="1">
      <alignment horizontal="right"/>
    </xf>
    <xf numFmtId="165" fontId="13" fillId="0" borderId="71" xfId="4" applyNumberFormat="1" applyFont="1" applyFill="1" applyBorder="1" applyAlignment="1">
      <alignment horizontal="right"/>
    </xf>
    <xf numFmtId="0" fontId="13" fillId="0" borderId="57" xfId="4" applyFont="1" applyFill="1" applyBorder="1" applyAlignment="1">
      <alignment horizontal="right"/>
    </xf>
    <xf numFmtId="165" fontId="13" fillId="0" borderId="64" xfId="4" applyNumberFormat="1" applyFont="1" applyFill="1" applyBorder="1"/>
    <xf numFmtId="0" fontId="13" fillId="0" borderId="65" xfId="4" applyFont="1" applyFill="1" applyBorder="1" applyAlignment="1">
      <alignment horizontal="right"/>
    </xf>
    <xf numFmtId="164" fontId="13" fillId="0" borderId="36" xfId="4" applyNumberFormat="1" applyFont="1" applyFill="1" applyBorder="1" applyAlignment="1">
      <alignment horizontal="right"/>
    </xf>
    <xf numFmtId="166" fontId="13" fillId="0" borderId="66" xfId="4" applyNumberFormat="1" applyFont="1" applyFill="1" applyBorder="1" applyAlignment="1">
      <alignment horizontal="right"/>
    </xf>
    <xf numFmtId="165" fontId="13" fillId="0" borderId="64" xfId="4" applyNumberFormat="1" applyFont="1" applyFill="1" applyBorder="1" applyAlignment="1">
      <alignment horizontal="right"/>
    </xf>
    <xf numFmtId="164" fontId="13" fillId="0" borderId="66" xfId="4" applyNumberFormat="1" applyFont="1" applyFill="1" applyBorder="1" applyAlignment="1">
      <alignment horizontal="right"/>
    </xf>
    <xf numFmtId="0" fontId="13" fillId="0" borderId="58" xfId="4" applyFont="1" applyFill="1" applyBorder="1" applyAlignment="1">
      <alignment horizontal="right"/>
    </xf>
    <xf numFmtId="165" fontId="13" fillId="0" borderId="0" xfId="4" applyNumberFormat="1" applyFont="1" applyFill="1"/>
    <xf numFmtId="165" fontId="13" fillId="0" borderId="0" xfId="4" applyNumberFormat="1" applyFont="1" applyFill="1" applyAlignment="1">
      <alignment horizontal="right"/>
    </xf>
    <xf numFmtId="0" fontId="7" fillId="0" borderId="67" xfId="4" applyFont="1" applyFill="1" applyBorder="1" applyAlignment="1">
      <alignment horizontal="center" vertical="center"/>
    </xf>
    <xf numFmtId="0" fontId="13" fillId="0" borderId="80" xfId="4" applyFont="1" applyFill="1" applyBorder="1" applyAlignment="1">
      <alignment horizontal="center" vertical="center"/>
    </xf>
    <xf numFmtId="166" fontId="7" fillId="0" borderId="81" xfId="4" applyNumberFormat="1" applyFont="1" applyFill="1" applyBorder="1" applyAlignment="1">
      <alignment horizontal="right" indent="1"/>
    </xf>
    <xf numFmtId="14" fontId="7" fillId="0" borderId="82" xfId="4" applyNumberFormat="1" applyFont="1" applyFill="1" applyBorder="1" applyAlignment="1">
      <alignment horizontal="right" indent="1"/>
    </xf>
    <xf numFmtId="0" fontId="7" fillId="0" borderId="58" xfId="4" applyFont="1" applyFill="1" applyBorder="1" applyAlignment="1">
      <alignment horizontal="center" vertical="center"/>
    </xf>
    <xf numFmtId="165" fontId="13" fillId="0" borderId="64" xfId="4" applyNumberFormat="1" applyFont="1" applyFill="1" applyBorder="1" applyAlignment="1">
      <alignment horizontal="center" vertical="center"/>
    </xf>
    <xf numFmtId="0" fontId="13" fillId="0" borderId="65" xfId="4" applyFont="1" applyFill="1" applyBorder="1" applyAlignment="1">
      <alignment horizontal="center" vertical="center"/>
    </xf>
    <xf numFmtId="0" fontId="13" fillId="0" borderId="66" xfId="4" applyFont="1" applyFill="1" applyBorder="1" applyAlignment="1">
      <alignment horizontal="center" vertical="center"/>
    </xf>
    <xf numFmtId="166" fontId="13" fillId="0" borderId="58" xfId="4" applyNumberFormat="1" applyFont="1" applyFill="1" applyBorder="1" applyAlignment="1">
      <alignment horizontal="center" vertical="center"/>
    </xf>
    <xf numFmtId="1" fontId="13" fillId="0" borderId="0" xfId="4" applyNumberFormat="1" applyFont="1" applyFill="1" applyAlignment="1">
      <alignment horizontal="left" indent="1"/>
    </xf>
    <xf numFmtId="0" fontId="7" fillId="0" borderId="83" xfId="4" applyFont="1" applyFill="1" applyBorder="1" applyAlignment="1">
      <alignment horizontal="right"/>
    </xf>
    <xf numFmtId="0" fontId="7" fillId="0" borderId="84" xfId="4" applyFont="1" applyFill="1" applyBorder="1" applyAlignment="1">
      <alignment horizontal="left"/>
    </xf>
    <xf numFmtId="1" fontId="13" fillId="0" borderId="58" xfId="4" applyNumberFormat="1" applyFont="1" applyFill="1" applyBorder="1"/>
    <xf numFmtId="0" fontId="7" fillId="0" borderId="30" xfId="4" applyFont="1" applyFill="1" applyBorder="1" applyAlignment="1">
      <alignment horizontal="right" vertical="center" indent="1"/>
    </xf>
    <xf numFmtId="166" fontId="13" fillId="0" borderId="28" xfId="4" applyNumberFormat="1" applyFont="1" applyFill="1" applyBorder="1" applyAlignment="1">
      <alignment horizontal="center" vertical="center"/>
    </xf>
    <xf numFmtId="165" fontId="13" fillId="0" borderId="40" xfId="4" applyNumberFormat="1" applyFont="1" applyFill="1" applyBorder="1" applyAlignment="1">
      <alignment horizontal="center" vertical="center"/>
    </xf>
    <xf numFmtId="0" fontId="13" fillId="0" borderId="42" xfId="4" applyFont="1" applyFill="1" applyBorder="1" applyAlignment="1">
      <alignment horizontal="center" vertical="center"/>
    </xf>
    <xf numFmtId="0" fontId="13" fillId="0" borderId="41" xfId="4" applyFont="1" applyFill="1" applyBorder="1" applyAlignment="1">
      <alignment horizontal="center" vertical="center"/>
    </xf>
    <xf numFmtId="0" fontId="7" fillId="0" borderId="28" xfId="4" applyFont="1" applyFill="1" applyBorder="1" applyAlignment="1">
      <alignment horizontal="center" vertical="center" wrapText="1"/>
    </xf>
    <xf numFmtId="0" fontId="7" fillId="0" borderId="28" xfId="4" applyFont="1" applyFill="1" applyBorder="1" applyAlignment="1">
      <alignment horizontal="center" vertical="center"/>
    </xf>
    <xf numFmtId="0" fontId="13" fillId="0" borderId="40" xfId="4" applyFont="1" applyFill="1" applyBorder="1" applyAlignment="1">
      <alignment horizontal="center" vertical="center"/>
    </xf>
    <xf numFmtId="14" fontId="7" fillId="0" borderId="85" xfId="4" applyNumberFormat="1" applyFont="1" applyFill="1" applyBorder="1" applyAlignment="1">
      <alignment horizontal="right" indent="1"/>
    </xf>
    <xf numFmtId="164" fontId="13" fillId="0" borderId="51" xfId="4" applyNumberFormat="1" applyFont="1" applyFill="1" applyBorder="1"/>
    <xf numFmtId="0" fontId="13" fillId="0" borderId="51" xfId="4" applyFont="1" applyFill="1" applyBorder="1" applyAlignment="1">
      <alignment wrapText="1"/>
    </xf>
    <xf numFmtId="172" fontId="13" fillId="0" borderId="0" xfId="4" applyNumberFormat="1" applyFont="1" applyFill="1"/>
    <xf numFmtId="0" fontId="7" fillId="0" borderId="0" xfId="4" applyFont="1" applyFill="1" applyBorder="1" applyAlignment="1">
      <alignment wrapText="1"/>
    </xf>
    <xf numFmtId="0" fontId="13" fillId="0" borderId="28" xfId="4" applyNumberFormat="1" applyFont="1" applyFill="1" applyBorder="1" applyAlignment="1">
      <alignment horizontal="left" indent="1"/>
    </xf>
    <xf numFmtId="1" fontId="13" fillId="0" borderId="28" xfId="4" applyNumberFormat="1" applyFont="1" applyFill="1" applyBorder="1" applyAlignment="1">
      <alignment horizontal="left" indent="1"/>
    </xf>
    <xf numFmtId="170" fontId="13" fillId="0" borderId="28" xfId="4" applyNumberFormat="1" applyFont="1" applyFill="1" applyBorder="1" applyAlignment="1">
      <alignment horizontal="right" indent="1"/>
    </xf>
    <xf numFmtId="0" fontId="13" fillId="0" borderId="0" xfId="4" applyFont="1" applyFill="1" applyBorder="1" applyAlignment="1">
      <alignment horizontal="left" wrapText="1" indent="1"/>
    </xf>
    <xf numFmtId="0" fontId="13" fillId="0" borderId="0" xfId="4" applyFont="1" applyFill="1" applyBorder="1" applyAlignment="1">
      <alignment wrapText="1"/>
    </xf>
    <xf numFmtId="1" fontId="13" fillId="0" borderId="51" xfId="4" applyNumberFormat="1" applyFont="1" applyFill="1" applyBorder="1" applyAlignment="1">
      <alignment horizontal="center"/>
    </xf>
    <xf numFmtId="170" fontId="13" fillId="0" borderId="51" xfId="4" applyNumberFormat="1" applyFont="1" applyFill="1" applyBorder="1" applyAlignment="1">
      <alignment horizontal="right"/>
    </xf>
    <xf numFmtId="170" fontId="13" fillId="0" borderId="51" xfId="4" applyNumberFormat="1" applyFont="1" applyFill="1" applyBorder="1" applyAlignment="1">
      <alignment horizontal="center"/>
    </xf>
    <xf numFmtId="0" fontId="13" fillId="0" borderId="51" xfId="4" applyFont="1" applyFill="1" applyBorder="1" applyAlignment="1">
      <alignment horizontal="center"/>
    </xf>
    <xf numFmtId="164" fontId="13" fillId="0" borderId="51" xfId="4" applyNumberFormat="1" applyFont="1" applyFill="1" applyBorder="1" applyAlignment="1">
      <alignment horizontal="center"/>
    </xf>
    <xf numFmtId="1" fontId="13" fillId="0" borderId="51" xfId="4" applyNumberFormat="1" applyFont="1" applyFill="1" applyBorder="1"/>
    <xf numFmtId="0" fontId="13" fillId="0" borderId="0" xfId="4" applyFont="1" applyFill="1" applyAlignment="1">
      <alignment horizontal="left" indent="1"/>
    </xf>
    <xf numFmtId="0" fontId="13" fillId="0" borderId="0" xfId="4" applyFont="1" applyFill="1" applyBorder="1" applyAlignment="1">
      <alignment horizontal="left"/>
    </xf>
    <xf numFmtId="0" fontId="13" fillId="0" borderId="0" xfId="4" applyFont="1" applyFill="1" applyAlignment="1">
      <alignment horizontal="left" wrapText="1"/>
    </xf>
    <xf numFmtId="164" fontId="13" fillId="0" borderId="0" xfId="4" applyNumberFormat="1" applyFont="1" applyFill="1" applyAlignment="1">
      <alignment horizontal="right" wrapText="1"/>
    </xf>
    <xf numFmtId="21" fontId="13" fillId="0" borderId="0" xfId="4" applyNumberFormat="1" applyFont="1" applyFill="1" applyAlignment="1">
      <alignment horizontal="right"/>
    </xf>
    <xf numFmtId="21" fontId="13" fillId="0" borderId="0" xfId="4" applyNumberFormat="1" applyFont="1" applyFill="1"/>
    <xf numFmtId="0" fontId="13" fillId="0" borderId="55" xfId="4" applyFont="1" applyFill="1" applyBorder="1"/>
    <xf numFmtId="46" fontId="13" fillId="0" borderId="0" xfId="4" applyNumberFormat="1" applyFont="1" applyFill="1"/>
    <xf numFmtId="166" fontId="13" fillId="0" borderId="58" xfId="4" applyNumberFormat="1" applyFont="1" applyFill="1" applyBorder="1" applyAlignment="1">
      <alignment horizontal="right"/>
    </xf>
    <xf numFmtId="165" fontId="13" fillId="0" borderId="87" xfId="4" applyNumberFormat="1" applyFont="1" applyFill="1" applyBorder="1" applyAlignment="1">
      <alignment horizontal="right"/>
    </xf>
    <xf numFmtId="2" fontId="13" fillId="0" borderId="58" xfId="4" applyNumberFormat="1" applyFont="1" applyFill="1" applyBorder="1" applyAlignment="1">
      <alignment horizontal="right"/>
    </xf>
    <xf numFmtId="168" fontId="7" fillId="0" borderId="4" xfId="4" applyNumberFormat="1" applyFont="1" applyFill="1" applyBorder="1" applyAlignment="1">
      <alignment horizontal="right" indent="1"/>
    </xf>
    <xf numFmtId="0" fontId="13" fillId="0" borderId="63" xfId="4" applyFont="1" applyFill="1" applyBorder="1" applyAlignment="1">
      <alignment horizontal="center" vertical="center" wrapText="1"/>
    </xf>
    <xf numFmtId="0" fontId="7" fillId="0" borderId="0" xfId="4" applyFont="1" applyFill="1" applyBorder="1" applyAlignment="1">
      <alignment horizontal="center" vertical="center" wrapText="1"/>
    </xf>
    <xf numFmtId="0" fontId="7" fillId="0" borderId="88" xfId="4" applyFont="1" applyFill="1" applyBorder="1" applyAlignment="1">
      <alignment horizontal="center" vertical="center"/>
    </xf>
    <xf numFmtId="0" fontId="13" fillId="0" borderId="88" xfId="4" applyFont="1" applyFill="1" applyBorder="1"/>
    <xf numFmtId="166" fontId="13" fillId="0" borderId="88" xfId="4" applyNumberFormat="1" applyFont="1" applyFill="1" applyBorder="1"/>
    <xf numFmtId="0" fontId="7" fillId="0" borderId="88" xfId="4" applyFont="1" applyFill="1" applyBorder="1" applyAlignment="1">
      <alignment horizontal="center" vertical="center" wrapText="1"/>
    </xf>
    <xf numFmtId="0" fontId="7" fillId="0" borderId="88" xfId="4" applyFont="1" applyFill="1" applyBorder="1"/>
    <xf numFmtId="1" fontId="7" fillId="0" borderId="16" xfId="4" applyNumberFormat="1" applyFont="1" applyFill="1" applyBorder="1" applyAlignment="1">
      <alignment horizontal="right"/>
    </xf>
    <xf numFmtId="166" fontId="7" fillId="0" borderId="18" xfId="4" applyNumberFormat="1" applyFont="1" applyFill="1" applyBorder="1" applyAlignment="1">
      <alignment horizontal="right"/>
    </xf>
    <xf numFmtId="0" fontId="7" fillId="0" borderId="16" xfId="4" applyFont="1" applyFill="1" applyBorder="1" applyAlignment="1">
      <alignment horizontal="right"/>
    </xf>
    <xf numFmtId="2" fontId="7" fillId="0" borderId="16" xfId="4" applyNumberFormat="1" applyFont="1" applyFill="1" applyBorder="1" applyAlignment="1">
      <alignment horizontal="right"/>
    </xf>
    <xf numFmtId="1" fontId="7" fillId="0" borderId="89" xfId="4" applyNumberFormat="1" applyFont="1" applyFill="1" applyBorder="1" applyAlignment="1">
      <alignment horizontal="right"/>
    </xf>
    <xf numFmtId="2" fontId="7" fillId="0" borderId="90" xfId="4" applyNumberFormat="1" applyFont="1" applyFill="1" applyBorder="1" applyAlignment="1">
      <alignment horizontal="right"/>
    </xf>
    <xf numFmtId="2" fontId="7" fillId="0" borderId="0" xfId="4" applyNumberFormat="1" applyFont="1" applyFill="1" applyBorder="1" applyAlignment="1">
      <alignment horizontal="right"/>
    </xf>
    <xf numFmtId="1" fontId="7" fillId="0" borderId="89" xfId="4" applyNumberFormat="1" applyFont="1" applyFill="1" applyBorder="1" applyAlignment="1">
      <alignment horizontal="right" indent="1"/>
    </xf>
    <xf numFmtId="2" fontId="7" fillId="0" borderId="90" xfId="4" applyNumberFormat="1" applyFont="1" applyFill="1" applyBorder="1" applyAlignment="1">
      <alignment horizontal="right" indent="1"/>
    </xf>
    <xf numFmtId="0" fontId="10" fillId="0" borderId="0" xfId="4" applyFont="1" applyFill="1" applyAlignment="1">
      <alignment horizontal="right" indent="1"/>
    </xf>
    <xf numFmtId="0" fontId="10" fillId="0" borderId="16" xfId="4" applyFont="1" applyFill="1" applyBorder="1" applyAlignment="1">
      <alignment horizontal="left" indent="1"/>
    </xf>
    <xf numFmtId="170" fontId="15" fillId="0" borderId="28" xfId="4" applyNumberFormat="1" applyFont="1" applyFill="1" applyBorder="1" applyAlignment="1">
      <alignment horizontal="right" indent="1"/>
    </xf>
    <xf numFmtId="166" fontId="10" fillId="0" borderId="18" xfId="4" applyNumberFormat="1" applyFont="1" applyFill="1" applyBorder="1" applyAlignment="1">
      <alignment horizontal="right" indent="1"/>
    </xf>
    <xf numFmtId="1" fontId="10" fillId="0" borderId="16" xfId="4" applyNumberFormat="1" applyFont="1" applyFill="1" applyBorder="1" applyAlignment="1">
      <alignment horizontal="right" indent="1"/>
    </xf>
    <xf numFmtId="2" fontId="10" fillId="0" borderId="16" xfId="4" applyNumberFormat="1" applyFont="1" applyFill="1" applyBorder="1" applyAlignment="1">
      <alignment horizontal="right" indent="1"/>
    </xf>
    <xf numFmtId="1" fontId="10" fillId="0" borderId="89" xfId="4" applyNumberFormat="1" applyFont="1" applyFill="1" applyBorder="1" applyAlignment="1">
      <alignment horizontal="right" indent="1"/>
    </xf>
    <xf numFmtId="2" fontId="10" fillId="0" borderId="90" xfId="4" applyNumberFormat="1" applyFont="1" applyFill="1" applyBorder="1" applyAlignment="1">
      <alignment horizontal="right" indent="1"/>
    </xf>
    <xf numFmtId="0" fontId="7" fillId="0" borderId="91" xfId="4" applyFont="1" applyFill="1" applyBorder="1" applyAlignment="1">
      <alignment horizontal="left"/>
    </xf>
    <xf numFmtId="1" fontId="13" fillId="0" borderId="92" xfId="4" applyNumberFormat="1" applyFont="1" applyFill="1" applyBorder="1" applyAlignment="1">
      <alignment horizontal="right"/>
    </xf>
    <xf numFmtId="170" fontId="13" fillId="0" borderId="92" xfId="4" applyNumberFormat="1" applyFont="1" applyFill="1" applyBorder="1" applyAlignment="1">
      <alignment horizontal="right" indent="1"/>
    </xf>
    <xf numFmtId="166" fontId="7" fillId="0" borderId="10" xfId="4" applyNumberFormat="1" applyFont="1" applyFill="1" applyBorder="1" applyAlignment="1">
      <alignment horizontal="right"/>
    </xf>
    <xf numFmtId="1" fontId="7" fillId="0" borderId="93" xfId="4" applyNumberFormat="1" applyFont="1" applyFill="1" applyBorder="1" applyAlignment="1">
      <alignment horizontal="right"/>
    </xf>
    <xf numFmtId="2" fontId="7" fillId="0" borderId="93" xfId="4" applyNumberFormat="1" applyFont="1" applyFill="1" applyBorder="1" applyAlignment="1">
      <alignment horizontal="right"/>
    </xf>
    <xf numFmtId="2" fontId="13" fillId="0" borderId="93" xfId="4" applyNumberFormat="1" applyFont="1" applyFill="1" applyBorder="1" applyAlignment="1">
      <alignment horizontal="right"/>
    </xf>
    <xf numFmtId="0" fontId="13" fillId="0" borderId="93" xfId="4" applyFont="1" applyFill="1" applyBorder="1" applyAlignment="1">
      <alignment horizontal="right"/>
    </xf>
    <xf numFmtId="2" fontId="13" fillId="0" borderId="0" xfId="4" applyNumberFormat="1" applyFont="1" applyFill="1" applyBorder="1" applyAlignment="1">
      <alignment horizontal="right"/>
    </xf>
    <xf numFmtId="10" fontId="7" fillId="0" borderId="0" xfId="4" applyNumberFormat="1" applyFont="1" applyFill="1"/>
    <xf numFmtId="0" fontId="11" fillId="0" borderId="94" xfId="4" applyFill="1" applyBorder="1" applyAlignment="1">
      <alignment horizontal="center" vertical="center"/>
    </xf>
    <xf numFmtId="0" fontId="13" fillId="0" borderId="54" xfId="4" applyFont="1" applyFill="1" applyBorder="1" applyAlignment="1">
      <alignment horizontal="center" vertical="center"/>
    </xf>
    <xf numFmtId="165" fontId="13" fillId="0" borderId="55" xfId="4" applyNumberFormat="1" applyFont="1" applyFill="1" applyBorder="1" applyAlignment="1">
      <alignment horizontal="center" vertical="center"/>
    </xf>
    <xf numFmtId="0" fontId="11" fillId="0" borderId="30" xfId="4" applyFill="1" applyBorder="1" applyAlignment="1">
      <alignment horizontal="center" vertical="center" wrapText="1"/>
    </xf>
    <xf numFmtId="0" fontId="11" fillId="0" borderId="30" xfId="4" applyFill="1" applyBorder="1" applyAlignment="1">
      <alignment horizontal="center" vertical="center"/>
    </xf>
    <xf numFmtId="166" fontId="7" fillId="0" borderId="18" xfId="4" applyNumberFormat="1" applyFont="1" applyFill="1" applyBorder="1"/>
    <xf numFmtId="1" fontId="7" fillId="0" borderId="16" xfId="4" applyNumberFormat="1" applyFont="1" applyFill="1" applyBorder="1"/>
    <xf numFmtId="0" fontId="7" fillId="0" borderId="4" xfId="4" applyFont="1" applyFill="1" applyBorder="1" applyAlignment="1">
      <alignment horizontal="left" wrapText="1" indent="1"/>
    </xf>
    <xf numFmtId="0" fontId="13" fillId="0" borderId="95" xfId="4" applyFont="1" applyFill="1" applyBorder="1"/>
    <xf numFmtId="166" fontId="13" fillId="0" borderId="32" xfId="4" applyNumberFormat="1" applyFont="1" applyFill="1" applyBorder="1"/>
    <xf numFmtId="0" fontId="13" fillId="0" borderId="83" xfId="4" applyFont="1" applyFill="1" applyBorder="1" applyAlignment="1">
      <alignment horizontal="right" indent="1"/>
    </xf>
    <xf numFmtId="1" fontId="13" fillId="0" borderId="74" xfId="4" applyNumberFormat="1" applyFont="1" applyFill="1" applyBorder="1" applyAlignment="1">
      <alignment horizontal="left" indent="1"/>
    </xf>
    <xf numFmtId="166" fontId="13" fillId="0" borderId="96" xfId="4" applyNumberFormat="1" applyFont="1" applyFill="1" applyBorder="1" applyAlignment="1">
      <alignment horizontal="right" indent="1"/>
    </xf>
    <xf numFmtId="0" fontId="13" fillId="0" borderId="86" xfId="4" applyFont="1" applyFill="1" applyBorder="1"/>
    <xf numFmtId="166" fontId="13" fillId="0" borderId="97" xfId="4" applyNumberFormat="1" applyFont="1" applyFill="1" applyBorder="1" applyAlignment="1">
      <alignment horizontal="right" indent="1"/>
    </xf>
    <xf numFmtId="0" fontId="13" fillId="0" borderId="63" xfId="4" applyFont="1" applyFill="1" applyBorder="1"/>
    <xf numFmtId="2" fontId="13" fillId="0" borderId="63" xfId="4" applyNumberFormat="1" applyFont="1" applyFill="1" applyBorder="1"/>
    <xf numFmtId="0" fontId="7" fillId="0" borderId="0" xfId="4" applyFont="1" applyFill="1" applyBorder="1" applyAlignment="1">
      <alignment horizontal="right"/>
    </xf>
    <xf numFmtId="0" fontId="7" fillId="0" borderId="0" xfId="4" applyFont="1" applyFill="1" applyBorder="1" applyAlignment="1">
      <alignment horizontal="left"/>
    </xf>
    <xf numFmtId="1" fontId="13" fillId="0" borderId="0" xfId="4" applyNumberFormat="1" applyFont="1" applyFill="1" applyBorder="1" applyAlignment="1">
      <alignment horizontal="right" indent="1"/>
    </xf>
    <xf numFmtId="1" fontId="13" fillId="0" borderId="0" xfId="4" applyNumberFormat="1" applyFont="1" applyFill="1" applyBorder="1" applyAlignment="1">
      <alignment horizontal="left" indent="1"/>
    </xf>
    <xf numFmtId="0" fontId="13" fillId="0" borderId="0" xfId="4" applyFont="1" applyAlignment="1">
      <alignment horizontal="center"/>
    </xf>
    <xf numFmtId="1" fontId="13" fillId="0" borderId="0" xfId="4" applyNumberFormat="1" applyFont="1"/>
    <xf numFmtId="0" fontId="16" fillId="0" borderId="0" xfId="4" applyFont="1"/>
    <xf numFmtId="0" fontId="7" fillId="0" borderId="0" xfId="4" applyFont="1" applyAlignment="1">
      <alignment horizontal="right" indent="1"/>
    </xf>
    <xf numFmtId="0" fontId="7" fillId="0" borderId="99" xfId="4" applyFont="1" applyFill="1" applyBorder="1"/>
    <xf numFmtId="1" fontId="7" fillId="0" borderId="15" xfId="4" applyNumberFormat="1" applyFont="1" applyFill="1" applyBorder="1" applyAlignment="1">
      <alignment horizontal="right"/>
    </xf>
    <xf numFmtId="0" fontId="7" fillId="0" borderId="4" xfId="4" applyFont="1" applyFill="1" applyBorder="1"/>
    <xf numFmtId="0" fontId="7" fillId="0" borderId="5" xfId="4" applyFont="1" applyFill="1" applyBorder="1"/>
    <xf numFmtId="0" fontId="7" fillId="0" borderId="18" xfId="4" applyFont="1" applyFill="1" applyBorder="1"/>
    <xf numFmtId="0" fontId="7" fillId="0" borderId="16" xfId="4" applyFont="1" applyFill="1" applyBorder="1"/>
    <xf numFmtId="0" fontId="7" fillId="0" borderId="27" xfId="4" applyFont="1" applyFill="1" applyBorder="1" applyAlignment="1">
      <alignment horizontal="right"/>
    </xf>
    <xf numFmtId="0" fontId="7" fillId="0" borderId="21" xfId="4" applyFont="1" applyFill="1" applyBorder="1" applyAlignment="1">
      <alignment horizontal="right"/>
    </xf>
    <xf numFmtId="164" fontId="7" fillId="0" borderId="21" xfId="4" applyNumberFormat="1" applyFont="1" applyFill="1" applyBorder="1" applyAlignment="1">
      <alignment horizontal="right"/>
    </xf>
    <xf numFmtId="2" fontId="7" fillId="0" borderId="30" xfId="4" applyNumberFormat="1" applyFont="1" applyFill="1" applyBorder="1" applyAlignment="1">
      <alignment horizontal="right" vertical="center" wrapText="1" indent="1"/>
    </xf>
    <xf numFmtId="2" fontId="7" fillId="0" borderId="74" xfId="4" applyNumberFormat="1" applyFont="1" applyFill="1" applyBorder="1" applyAlignment="1">
      <alignment horizontal="right" indent="1"/>
    </xf>
    <xf numFmtId="0" fontId="7" fillId="0" borderId="0" xfId="0" applyFont="1"/>
    <xf numFmtId="0" fontId="7" fillId="0" borderId="0" xfId="2" applyFont="1"/>
    <xf numFmtId="0" fontId="7" fillId="0" borderId="18" xfId="2" applyFont="1" applyBorder="1"/>
    <xf numFmtId="0" fontId="20" fillId="0" borderId="18" xfId="0" applyFont="1" applyBorder="1"/>
    <xf numFmtId="0" fontId="20" fillId="0" borderId="19" xfId="0" applyFont="1" applyBorder="1"/>
    <xf numFmtId="0" fontId="7" fillId="0" borderId="100" xfId="2" applyFont="1" applyBorder="1"/>
    <xf numFmtId="0" fontId="20" fillId="0" borderId="21" xfId="0" applyFont="1" applyBorder="1"/>
    <xf numFmtId="0" fontId="7" fillId="0" borderId="101" xfId="2" applyBorder="1" applyAlignment="1"/>
    <xf numFmtId="0" fontId="7" fillId="0" borderId="102" xfId="2" applyBorder="1" applyAlignment="1">
      <alignment horizontal="center" wrapText="1"/>
    </xf>
    <xf numFmtId="0" fontId="7" fillId="0" borderId="103" xfId="2" applyBorder="1" applyAlignment="1">
      <alignment horizontal="center" wrapText="1"/>
    </xf>
    <xf numFmtId="0" fontId="7" fillId="0" borderId="103" xfId="2" applyBorder="1" applyAlignment="1">
      <alignment horizontal="center"/>
    </xf>
    <xf numFmtId="0" fontId="7" fillId="0" borderId="104" xfId="2" applyBorder="1" applyAlignment="1">
      <alignment horizontal="center"/>
    </xf>
    <xf numFmtId="0" fontId="7" fillId="0" borderId="21" xfId="2" applyBorder="1" applyAlignment="1">
      <alignment horizontal="center"/>
    </xf>
    <xf numFmtId="0" fontId="7" fillId="0" borderId="15" xfId="2" applyBorder="1"/>
    <xf numFmtId="2" fontId="7" fillId="0" borderId="13" xfId="2" applyNumberFormat="1" applyBorder="1"/>
    <xf numFmtId="0" fontId="7" fillId="0" borderId="13" xfId="2" applyBorder="1"/>
    <xf numFmtId="2" fontId="7" fillId="0" borderId="5" xfId="2" applyNumberFormat="1" applyBorder="1"/>
    <xf numFmtId="14" fontId="7" fillId="0" borderId="17" xfId="0" applyNumberFormat="1" applyFont="1" applyFill="1" applyBorder="1" applyAlignment="1">
      <alignment horizontal="right" indent="1"/>
    </xf>
    <xf numFmtId="0" fontId="7" fillId="0" borderId="5" xfId="0" applyFont="1" applyFill="1" applyBorder="1" applyAlignment="1">
      <alignment horizontal="right" indent="1"/>
    </xf>
    <xf numFmtId="164" fontId="7" fillId="0" borderId="18" xfId="0" applyNumberFormat="1" applyFont="1" applyFill="1" applyBorder="1" applyAlignment="1">
      <alignment horizontal="right" indent="1"/>
    </xf>
    <xf numFmtId="1" fontId="13" fillId="0" borderId="20" xfId="4" applyNumberFormat="1" applyFont="1" applyFill="1" applyBorder="1" applyAlignment="1">
      <alignment horizontal="right" wrapText="1" indent="1"/>
    </xf>
    <xf numFmtId="0" fontId="13" fillId="0" borderId="107" xfId="4" applyFont="1" applyFill="1" applyBorder="1" applyAlignment="1">
      <alignment horizontal="right" indent="1"/>
    </xf>
    <xf numFmtId="166" fontId="7" fillId="0" borderId="37" xfId="4" applyNumberFormat="1" applyFont="1" applyFill="1" applyBorder="1" applyAlignment="1">
      <alignment horizontal="right" vertical="center" wrapText="1" indent="1"/>
    </xf>
    <xf numFmtId="166" fontId="7" fillId="0" borderId="39" xfId="4" applyNumberFormat="1" applyFont="1" applyFill="1" applyBorder="1" applyAlignment="1">
      <alignment horizontal="right" vertical="center" wrapText="1" indent="1"/>
    </xf>
    <xf numFmtId="166" fontId="7" fillId="0" borderId="40" xfId="4" applyNumberFormat="1" applyFont="1" applyFill="1" applyBorder="1" applyAlignment="1">
      <alignment horizontal="right" indent="1"/>
    </xf>
    <xf numFmtId="166" fontId="7" fillId="0" borderId="41" xfId="4" applyNumberFormat="1" applyFont="1" applyFill="1" applyBorder="1" applyAlignment="1">
      <alignment horizontal="right" indent="1"/>
    </xf>
    <xf numFmtId="166" fontId="7" fillId="0" borderId="115" xfId="4" applyNumberFormat="1" applyFont="1" applyFill="1" applyBorder="1" applyAlignment="1">
      <alignment horizontal="right" indent="1"/>
    </xf>
    <xf numFmtId="166" fontId="7" fillId="0" borderId="116" xfId="4" applyNumberFormat="1" applyFont="1" applyFill="1" applyBorder="1" applyAlignment="1">
      <alignment horizontal="right" indent="1"/>
    </xf>
    <xf numFmtId="166" fontId="7" fillId="0" borderId="4" xfId="4" applyNumberFormat="1" applyFont="1" applyFill="1" applyBorder="1" applyAlignment="1">
      <alignment horizontal="right" indent="1"/>
    </xf>
    <xf numFmtId="166" fontId="7" fillId="0" borderId="117" xfId="4" applyNumberFormat="1" applyFont="1" applyFill="1" applyBorder="1" applyAlignment="1">
      <alignment horizontal="right" indent="1"/>
    </xf>
    <xf numFmtId="0" fontId="7" fillId="0" borderId="0" xfId="4" applyNumberFormat="1" applyFont="1" applyFill="1"/>
    <xf numFmtId="0" fontId="7" fillId="0" borderId="24" xfId="4" applyFont="1" applyFill="1" applyBorder="1" applyAlignment="1">
      <alignment horizontal="left" wrapText="1" indent="1"/>
    </xf>
    <xf numFmtId="49" fontId="7" fillId="0" borderId="24" xfId="4" applyNumberFormat="1" applyFont="1" applyFill="1" applyBorder="1" applyAlignment="1">
      <alignment horizontal="left" indent="1"/>
    </xf>
    <xf numFmtId="0" fontId="7" fillId="0" borderId="24" xfId="4" applyFont="1" applyFill="1" applyBorder="1" applyAlignment="1">
      <alignment horizontal="left" indent="1"/>
    </xf>
    <xf numFmtId="49" fontId="7" fillId="0" borderId="56" xfId="4" applyNumberFormat="1" applyFont="1" applyFill="1" applyBorder="1" applyAlignment="1">
      <alignment horizontal="left" indent="1"/>
    </xf>
    <xf numFmtId="49" fontId="7" fillId="0" borderId="19" xfId="4" applyNumberFormat="1" applyFont="1" applyFill="1" applyBorder="1" applyAlignment="1">
      <alignment horizontal="left" indent="1"/>
    </xf>
    <xf numFmtId="0" fontId="7" fillId="0" borderId="0" xfId="5" applyFont="1"/>
    <xf numFmtId="0" fontId="13" fillId="0" borderId="30" xfId="4" applyFont="1" applyFill="1" applyBorder="1" applyAlignment="1">
      <alignment horizontal="right" indent="1"/>
    </xf>
    <xf numFmtId="1" fontId="7" fillId="0" borderId="37" xfId="4" applyNumberFormat="1" applyFont="1" applyFill="1" applyBorder="1" applyAlignment="1">
      <alignment horizontal="right" vertical="center" wrapText="1" indent="1"/>
    </xf>
    <xf numFmtId="0" fontId="7" fillId="0" borderId="39" xfId="4" applyFont="1" applyFill="1" applyBorder="1" applyAlignment="1">
      <alignment horizontal="center" vertical="center" wrapText="1"/>
    </xf>
    <xf numFmtId="1" fontId="7" fillId="0" borderId="40" xfId="4" applyNumberFormat="1" applyFont="1" applyFill="1" applyBorder="1" applyAlignment="1">
      <alignment horizontal="right" vertical="center" wrapText="1" indent="1"/>
    </xf>
    <xf numFmtId="0" fontId="7" fillId="0" borderId="41" xfId="4" applyFont="1" applyFill="1" applyBorder="1" applyAlignment="1">
      <alignment horizontal="center" vertical="center" wrapText="1"/>
    </xf>
    <xf numFmtId="1" fontId="7" fillId="0" borderId="40" xfId="4" applyNumberFormat="1" applyFont="1" applyFill="1" applyBorder="1" applyAlignment="1">
      <alignment horizontal="right" indent="1"/>
    </xf>
    <xf numFmtId="170" fontId="7" fillId="0" borderId="41" xfId="4" applyNumberFormat="1" applyFont="1" applyFill="1" applyBorder="1" applyAlignment="1">
      <alignment horizontal="right" indent="1"/>
    </xf>
    <xf numFmtId="2" fontId="7" fillId="0" borderId="40" xfId="4" applyNumberFormat="1" applyFont="1" applyFill="1" applyBorder="1" applyAlignment="1">
      <alignment horizontal="left" indent="1"/>
    </xf>
    <xf numFmtId="2" fontId="7" fillId="0" borderId="42" xfId="4" applyNumberFormat="1" applyFont="1" applyFill="1" applyBorder="1" applyAlignment="1">
      <alignment horizontal="left" indent="1"/>
    </xf>
    <xf numFmtId="2" fontId="7" fillId="0" borderId="41" xfId="4" applyNumberFormat="1" applyFont="1" applyFill="1" applyBorder="1" applyAlignment="1">
      <alignment horizontal="left" indent="1"/>
    </xf>
    <xf numFmtId="2" fontId="7" fillId="0" borderId="28" xfId="4" applyNumberFormat="1" applyFont="1" applyFill="1" applyBorder="1" applyAlignment="1">
      <alignment horizontal="right" indent="1"/>
    </xf>
    <xf numFmtId="0" fontId="13" fillId="0" borderId="37" xfId="4" applyFont="1" applyFill="1" applyBorder="1" applyAlignment="1">
      <alignment horizontal="left" indent="1"/>
    </xf>
    <xf numFmtId="0" fontId="13" fillId="0" borderId="38" xfId="4" applyFont="1" applyFill="1" applyBorder="1" applyAlignment="1">
      <alignment horizontal="left" indent="1"/>
    </xf>
    <xf numFmtId="0" fontId="13" fillId="0" borderId="39" xfId="4" applyFont="1" applyFill="1" applyBorder="1" applyAlignment="1">
      <alignment horizontal="left" indent="1"/>
    </xf>
    <xf numFmtId="0" fontId="13" fillId="0" borderId="65" xfId="4" applyFont="1" applyFill="1" applyBorder="1" applyAlignment="1">
      <alignment horizontal="left" indent="1"/>
    </xf>
    <xf numFmtId="0" fontId="13" fillId="0" borderId="79" xfId="4" applyFont="1" applyFill="1" applyBorder="1" applyAlignment="1">
      <alignment horizontal="right" indent="1"/>
    </xf>
    <xf numFmtId="170" fontId="13" fillId="0" borderId="58" xfId="4" applyNumberFormat="1" applyFont="1" applyFill="1" applyBorder="1" applyAlignment="1">
      <alignment horizontal="right" indent="1"/>
    </xf>
    <xf numFmtId="166" fontId="13" fillId="0" borderId="30" xfId="4" applyNumberFormat="1" applyFont="1" applyFill="1" applyBorder="1" applyAlignment="1">
      <alignment horizontal="right" indent="1"/>
    </xf>
    <xf numFmtId="166" fontId="13" fillId="0" borderId="28" xfId="4" applyNumberFormat="1" applyFont="1" applyFill="1" applyBorder="1" applyAlignment="1">
      <alignment horizontal="right" indent="1"/>
    </xf>
    <xf numFmtId="166" fontId="13" fillId="0" borderId="58" xfId="4" applyNumberFormat="1" applyFont="1" applyFill="1" applyBorder="1" applyAlignment="1">
      <alignment horizontal="right" indent="1"/>
    </xf>
    <xf numFmtId="0" fontId="13" fillId="0" borderId="58" xfId="4" applyFont="1" applyFill="1" applyBorder="1" applyAlignment="1">
      <alignment horizontal="right" indent="1"/>
    </xf>
    <xf numFmtId="0" fontId="13" fillId="0" borderId="123" xfId="4" applyFont="1" applyFill="1" applyBorder="1" applyAlignment="1">
      <alignment horizontal="center" vertical="center"/>
    </xf>
    <xf numFmtId="0" fontId="7" fillId="0" borderId="124" xfId="4" applyFont="1" applyFill="1" applyBorder="1" applyAlignment="1">
      <alignment horizontal="center" vertical="center"/>
    </xf>
    <xf numFmtId="1" fontId="13" fillId="0" borderId="64" xfId="4" applyNumberFormat="1" applyFont="1" applyFill="1" applyBorder="1" applyAlignment="1">
      <alignment horizontal="left" indent="1"/>
    </xf>
    <xf numFmtId="1" fontId="13" fillId="0" borderId="65" xfId="4" applyNumberFormat="1" applyFont="1" applyFill="1" applyBorder="1" applyAlignment="1">
      <alignment horizontal="left" indent="1"/>
    </xf>
    <xf numFmtId="1" fontId="13" fillId="0" borderId="66" xfId="4" applyNumberFormat="1" applyFont="1" applyFill="1" applyBorder="1" applyAlignment="1">
      <alignment horizontal="left" indent="1"/>
    </xf>
    <xf numFmtId="170" fontId="13" fillId="0" borderId="64" xfId="4" applyNumberFormat="1" applyFont="1" applyFill="1" applyBorder="1" applyAlignment="1">
      <alignment horizontal="left" indent="1"/>
    </xf>
    <xf numFmtId="1" fontId="13" fillId="0" borderId="58" xfId="4" applyNumberFormat="1" applyFont="1" applyFill="1" applyBorder="1" applyAlignment="1">
      <alignment horizontal="right" indent="1"/>
    </xf>
    <xf numFmtId="170" fontId="13" fillId="0" borderId="32" xfId="4" applyNumberFormat="1" applyFont="1" applyFill="1" applyBorder="1" applyAlignment="1">
      <alignment horizontal="right" indent="1"/>
    </xf>
    <xf numFmtId="170" fontId="13" fillId="0" borderId="37" xfId="4" applyNumberFormat="1" applyFont="1" applyFill="1" applyBorder="1" applyAlignment="1">
      <alignment horizontal="left" indent="1"/>
    </xf>
    <xf numFmtId="0" fontId="7" fillId="0" borderId="11" xfId="4" applyNumberFormat="1" applyFont="1" applyFill="1" applyBorder="1"/>
    <xf numFmtId="0" fontId="7" fillId="0" borderId="16" xfId="4" applyNumberFormat="1" applyFont="1" applyFill="1" applyBorder="1"/>
    <xf numFmtId="0" fontId="7" fillId="0" borderId="11" xfId="4" applyNumberFormat="1" applyFont="1" applyFill="1" applyBorder="1" applyAlignment="1">
      <alignment horizontal="right" indent="1"/>
    </xf>
    <xf numFmtId="0" fontId="7" fillId="0" borderId="16" xfId="4" applyNumberFormat="1" applyFont="1" applyFill="1" applyBorder="1" applyAlignment="1">
      <alignment horizontal="right" indent="1"/>
    </xf>
    <xf numFmtId="0" fontId="7" fillId="0" borderId="1" xfId="2" applyBorder="1" applyAlignment="1">
      <alignment horizontal="center" vertical="center" wrapText="1"/>
    </xf>
    <xf numFmtId="0" fontId="7" fillId="0" borderId="2" xfId="2" applyBorder="1" applyAlignment="1">
      <alignment horizontal="center" vertical="center"/>
    </xf>
    <xf numFmtId="0" fontId="7" fillId="0" borderId="125" xfId="2" applyFont="1" applyBorder="1"/>
    <xf numFmtId="0" fontId="13" fillId="0" borderId="32" xfId="4" applyFont="1" applyFill="1" applyBorder="1" applyAlignment="1">
      <alignment horizontal="center" vertical="center"/>
    </xf>
    <xf numFmtId="0" fontId="7" fillId="0" borderId="59" xfId="4" applyFont="1" applyFill="1" applyBorder="1" applyAlignment="1">
      <alignment horizontal="center" vertical="center"/>
    </xf>
    <xf numFmtId="0" fontId="13" fillId="0" borderId="63" xfId="4" applyFont="1" applyFill="1" applyBorder="1" applyAlignment="1">
      <alignment horizontal="center" vertical="center"/>
    </xf>
    <xf numFmtId="0" fontId="13" fillId="0" borderId="0" xfId="4" applyFont="1" applyFill="1" applyAlignment="1">
      <alignment horizontal="center" vertical="center" wrapText="1"/>
    </xf>
    <xf numFmtId="0" fontId="13" fillId="0" borderId="86" xfId="4" applyFont="1" applyFill="1" applyBorder="1" applyAlignment="1">
      <alignment horizontal="center" vertical="center"/>
    </xf>
    <xf numFmtId="165" fontId="13" fillId="0" borderId="61" xfId="4" applyNumberFormat="1" applyFont="1" applyFill="1" applyBorder="1" applyAlignment="1">
      <alignment horizontal="center" vertical="center"/>
    </xf>
    <xf numFmtId="1" fontId="13" fillId="0" borderId="62" xfId="4" applyNumberFormat="1" applyFont="1" applyFill="1" applyBorder="1" applyAlignment="1">
      <alignment horizontal="right" wrapText="1" indent="1"/>
    </xf>
    <xf numFmtId="164" fontId="13" fillId="0" borderId="0" xfId="1" applyNumberFormat="1" applyFont="1" applyFill="1"/>
    <xf numFmtId="0" fontId="13" fillId="0" borderId="37" xfId="4" applyFont="1" applyFill="1" applyBorder="1" applyAlignment="1">
      <alignment horizontal="left" vertical="center" indent="1"/>
    </xf>
    <xf numFmtId="170" fontId="13" fillId="0" borderId="30" xfId="4" applyNumberFormat="1" applyFont="1" applyFill="1" applyBorder="1" applyAlignment="1">
      <alignment horizontal="right" vertical="center" wrapText="1" indent="1"/>
    </xf>
    <xf numFmtId="0" fontId="13" fillId="0" borderId="37" xfId="4" applyFont="1" applyFill="1" applyBorder="1" applyAlignment="1">
      <alignment horizontal="left" vertical="center" wrapText="1" indent="1"/>
    </xf>
    <xf numFmtId="0" fontId="7" fillId="0" borderId="30" xfId="4" applyFont="1" applyFill="1" applyBorder="1" applyAlignment="1">
      <alignment horizontal="left" wrapText="1"/>
    </xf>
    <xf numFmtId="0" fontId="7" fillId="0" borderId="79" xfId="4" applyFont="1" applyFill="1" applyBorder="1" applyAlignment="1">
      <alignment horizontal="left" wrapText="1"/>
    </xf>
    <xf numFmtId="0" fontId="13" fillId="0" borderId="0" xfId="4" applyFont="1" applyFill="1" applyAlignment="1">
      <alignment horizontal="right" wrapText="1" indent="1"/>
    </xf>
    <xf numFmtId="0" fontId="11" fillId="0" borderId="112" xfId="4" applyFill="1" applyBorder="1" applyAlignment="1">
      <alignment horizontal="left" vertical="center" wrapText="1"/>
    </xf>
    <xf numFmtId="0" fontId="11" fillId="0" borderId="112" xfId="4" applyFill="1" applyBorder="1" applyAlignment="1">
      <alignment horizontal="left" wrapText="1"/>
    </xf>
    <xf numFmtId="0" fontId="13" fillId="0" borderId="58" xfId="4" applyFont="1" applyFill="1" applyBorder="1" applyAlignment="1">
      <alignment horizontal="left" vertical="center"/>
    </xf>
    <xf numFmtId="170" fontId="13" fillId="0" borderId="58" xfId="4" applyNumberFormat="1" applyFont="1" applyFill="1" applyBorder="1" applyAlignment="1">
      <alignment horizontal="right" wrapText="1" indent="1"/>
    </xf>
    <xf numFmtId="0" fontId="13" fillId="0" borderId="64" xfId="4" applyFont="1" applyFill="1" applyBorder="1" applyAlignment="1">
      <alignment horizontal="left" wrapText="1" indent="1"/>
    </xf>
    <xf numFmtId="0" fontId="13" fillId="0" borderId="66" xfId="4" applyFont="1" applyFill="1" applyBorder="1" applyAlignment="1">
      <alignment horizontal="left" wrapText="1" indent="1"/>
    </xf>
    <xf numFmtId="0" fontId="7" fillId="0" borderId="58" xfId="4" applyFont="1" applyFill="1" applyBorder="1" applyAlignment="1">
      <alignment horizontal="left" vertical="center" wrapText="1"/>
    </xf>
    <xf numFmtId="0" fontId="7" fillId="0" borderId="122" xfId="4" applyFont="1" applyFill="1" applyBorder="1" applyAlignment="1">
      <alignment horizontal="left" vertical="center" wrapText="1"/>
    </xf>
    <xf numFmtId="166" fontId="13" fillId="0" borderId="39" xfId="4" applyNumberFormat="1" applyFont="1" applyFill="1" applyBorder="1" applyAlignment="1">
      <alignment horizontal="center" vertical="center"/>
    </xf>
    <xf numFmtId="0" fontId="13" fillId="0" borderId="55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right" vertical="center" wrapText="1" indent="1"/>
    </xf>
    <xf numFmtId="0" fontId="7" fillId="0" borderId="30" xfId="4" applyFont="1" applyFill="1" applyBorder="1" applyAlignment="1">
      <alignment horizontal="right" wrapText="1" indent="1"/>
    </xf>
    <xf numFmtId="0" fontId="13" fillId="0" borderId="28" xfId="4" applyFont="1" applyFill="1" applyBorder="1" applyAlignment="1">
      <alignment horizontal="right" vertical="center" wrapText="1" indent="1"/>
    </xf>
    <xf numFmtId="0" fontId="13" fillId="0" borderId="58" xfId="4" applyFont="1" applyFill="1" applyBorder="1" applyAlignment="1">
      <alignment horizontal="right" vertical="center" wrapText="1" indent="1"/>
    </xf>
    <xf numFmtId="0" fontId="7" fillId="0" borderId="20" xfId="4" applyFont="1" applyFill="1" applyBorder="1"/>
    <xf numFmtId="0" fontId="7" fillId="0" borderId="16" xfId="4" quotePrefix="1" applyFont="1" applyFill="1" applyBorder="1" applyAlignment="1">
      <alignment horizontal="right" indent="1"/>
    </xf>
    <xf numFmtId="0" fontId="7" fillId="0" borderId="18" xfId="4" quotePrefix="1" applyFont="1" applyFill="1" applyBorder="1" applyAlignment="1">
      <alignment horizontal="right" indent="1"/>
    </xf>
    <xf numFmtId="3" fontId="13" fillId="0" borderId="107" xfId="4" applyNumberFormat="1" applyFont="1" applyFill="1" applyBorder="1" applyAlignment="1">
      <alignment horizontal="right" indent="1"/>
    </xf>
    <xf numFmtId="3" fontId="13" fillId="0" borderId="28" xfId="4" applyNumberFormat="1" applyFont="1" applyFill="1" applyBorder="1" applyAlignment="1">
      <alignment horizontal="right" indent="1"/>
    </xf>
    <xf numFmtId="3" fontId="7" fillId="0" borderId="29" xfId="4" applyNumberFormat="1" applyFont="1" applyFill="1" applyBorder="1" applyAlignment="1">
      <alignment horizontal="right" indent="1"/>
    </xf>
    <xf numFmtId="3" fontId="13" fillId="0" borderId="29" xfId="4" applyNumberFormat="1" applyFont="1" applyFill="1" applyBorder="1" applyAlignment="1">
      <alignment horizontal="right" indent="1"/>
    </xf>
    <xf numFmtId="0" fontId="7" fillId="2" borderId="0" xfId="4" applyFont="1" applyFill="1" applyAlignment="1">
      <alignment horizontal="right" indent="1"/>
    </xf>
    <xf numFmtId="0" fontId="7" fillId="2" borderId="16" xfId="4" applyFont="1" applyFill="1" applyBorder="1" applyAlignment="1">
      <alignment horizontal="left" indent="1"/>
    </xf>
    <xf numFmtId="14" fontId="7" fillId="2" borderId="4" xfId="4" applyNumberFormat="1" applyFont="1" applyFill="1" applyBorder="1" applyAlignment="1">
      <alignment horizontal="right" indent="1"/>
    </xf>
    <xf numFmtId="1" fontId="7" fillId="2" borderId="5" xfId="4" applyNumberFormat="1" applyFont="1" applyFill="1" applyBorder="1" applyAlignment="1">
      <alignment horizontal="right" indent="1"/>
    </xf>
    <xf numFmtId="164" fontId="7" fillId="2" borderId="56" xfId="4" applyNumberFormat="1" applyFont="1" applyFill="1" applyBorder="1" applyAlignment="1">
      <alignment horizontal="right" indent="1"/>
    </xf>
    <xf numFmtId="166" fontId="7" fillId="2" borderId="40" xfId="4" applyNumberFormat="1" applyFont="1" applyFill="1" applyBorder="1" applyAlignment="1">
      <alignment horizontal="right" indent="1"/>
    </xf>
    <xf numFmtId="166" fontId="7" fillId="2" borderId="41" xfId="4" applyNumberFormat="1" applyFont="1" applyFill="1" applyBorder="1" applyAlignment="1">
      <alignment horizontal="right" indent="1"/>
    </xf>
    <xf numFmtId="14" fontId="7" fillId="2" borderId="26" xfId="4" applyNumberFormat="1" applyFont="1" applyFill="1" applyBorder="1" applyAlignment="1">
      <alignment horizontal="right" indent="1"/>
    </xf>
    <xf numFmtId="164" fontId="7" fillId="2" borderId="18" xfId="4" applyNumberFormat="1" applyFont="1" applyFill="1" applyBorder="1" applyAlignment="1">
      <alignment horizontal="right" indent="1"/>
    </xf>
    <xf numFmtId="2" fontId="7" fillId="2" borderId="74" xfId="4" applyNumberFormat="1" applyFont="1" applyFill="1" applyBorder="1" applyAlignment="1">
      <alignment horizontal="right" indent="1"/>
    </xf>
    <xf numFmtId="0" fontId="7" fillId="2" borderId="57" xfId="4" applyFont="1" applyFill="1" applyBorder="1" applyAlignment="1">
      <alignment horizontal="right" vertical="center" wrapText="1" indent="1"/>
    </xf>
    <xf numFmtId="0" fontId="7" fillId="2" borderId="28" xfId="4" applyFont="1" applyFill="1" applyBorder="1" applyAlignment="1">
      <alignment horizontal="right" indent="1"/>
    </xf>
    <xf numFmtId="1" fontId="7" fillId="2" borderId="40" xfId="4" applyNumberFormat="1" applyFont="1" applyFill="1" applyBorder="1" applyAlignment="1">
      <alignment horizontal="right" indent="1"/>
    </xf>
    <xf numFmtId="170" fontId="7" fillId="2" borderId="41" xfId="4" applyNumberFormat="1" applyFont="1" applyFill="1" applyBorder="1" applyAlignment="1">
      <alignment horizontal="right" indent="1"/>
    </xf>
    <xf numFmtId="166" fontId="7" fillId="2" borderId="4" xfId="4" applyNumberFormat="1" applyFont="1" applyFill="1" applyBorder="1" applyAlignment="1">
      <alignment horizontal="right" indent="1"/>
    </xf>
    <xf numFmtId="166" fontId="7" fillId="2" borderId="117" xfId="4" applyNumberFormat="1" applyFont="1" applyFill="1" applyBorder="1" applyAlignment="1">
      <alignment horizontal="right" indent="1"/>
    </xf>
    <xf numFmtId="166" fontId="7" fillId="2" borderId="43" xfId="4" applyNumberFormat="1" applyFont="1" applyFill="1" applyBorder="1" applyAlignment="1">
      <alignment horizontal="right" indent="1"/>
    </xf>
    <xf numFmtId="166" fontId="7" fillId="2" borderId="118" xfId="4" applyNumberFormat="1" applyFont="1" applyFill="1" applyBorder="1" applyAlignment="1">
      <alignment horizontal="right" indent="1"/>
    </xf>
    <xf numFmtId="170" fontId="7" fillId="2" borderId="66" xfId="4" applyNumberFormat="1" applyFont="1" applyFill="1" applyBorder="1" applyAlignment="1">
      <alignment horizontal="right" indent="1"/>
    </xf>
    <xf numFmtId="3" fontId="7" fillId="0" borderId="16" xfId="4" applyNumberFormat="1" applyFont="1" applyFill="1" applyBorder="1" applyAlignment="1">
      <alignment horizontal="right" indent="1"/>
    </xf>
    <xf numFmtId="2" fontId="7" fillId="0" borderId="74" xfId="4" applyNumberFormat="1" applyFont="1" applyFill="1" applyBorder="1" applyAlignment="1">
      <alignment horizontal="left" indent="1"/>
    </xf>
    <xf numFmtId="2" fontId="7" fillId="2" borderId="74" xfId="4" applyNumberFormat="1" applyFont="1" applyFill="1" applyBorder="1" applyAlignment="1">
      <alignment horizontal="left" indent="1"/>
    </xf>
    <xf numFmtId="1" fontId="7" fillId="0" borderId="16" xfId="4" applyNumberFormat="1" applyFont="1" applyFill="1" applyBorder="1" applyAlignment="1">
      <alignment horizontal="left" indent="1"/>
    </xf>
    <xf numFmtId="1" fontId="7" fillId="2" borderId="16" xfId="4" applyNumberFormat="1" applyFont="1" applyFill="1" applyBorder="1" applyAlignment="1">
      <alignment horizontal="left" indent="1"/>
    </xf>
    <xf numFmtId="1" fontId="7" fillId="2" borderId="16" xfId="4" applyNumberFormat="1" applyFont="1" applyFill="1" applyBorder="1" applyAlignment="1">
      <alignment horizontal="right" indent="1"/>
    </xf>
    <xf numFmtId="0" fontId="11" fillId="0" borderId="112" xfId="4" applyFill="1" applyBorder="1" applyAlignment="1">
      <alignment horizontal="left" vertical="center" wrapText="1" indent="1"/>
    </xf>
    <xf numFmtId="0" fontId="7" fillId="0" borderId="112" xfId="4" applyFont="1" applyFill="1" applyBorder="1" applyAlignment="1">
      <alignment horizontal="left" vertical="center" wrapText="1" indent="1"/>
    </xf>
    <xf numFmtId="0" fontId="7" fillId="0" borderId="112" xfId="4" applyFont="1" applyFill="1" applyBorder="1" applyAlignment="1">
      <alignment horizontal="left" wrapText="1" indent="1"/>
    </xf>
    <xf numFmtId="0" fontId="7" fillId="0" borderId="122" xfId="4" applyFont="1" applyFill="1" applyBorder="1" applyAlignment="1">
      <alignment horizontal="left" vertical="center" wrapText="1" indent="1"/>
    </xf>
    <xf numFmtId="0" fontId="7" fillId="0" borderId="41" xfId="4" applyFont="1" applyFill="1" applyBorder="1" applyAlignment="1">
      <alignment horizontal="left" vertical="center" indent="1"/>
    </xf>
    <xf numFmtId="0" fontId="7" fillId="0" borderId="41" xfId="4" applyFont="1" applyFill="1" applyBorder="1" applyAlignment="1">
      <alignment horizontal="left" indent="1"/>
    </xf>
    <xf numFmtId="0" fontId="13" fillId="0" borderId="41" xfId="4" applyFont="1" applyFill="1" applyBorder="1" applyAlignment="1">
      <alignment horizontal="left" indent="1"/>
    </xf>
    <xf numFmtId="0" fontId="7" fillId="0" borderId="0" xfId="4" applyFont="1" applyFill="1" applyAlignment="1">
      <alignment horizontal="left" indent="1"/>
    </xf>
    <xf numFmtId="0" fontId="7" fillId="0" borderId="79" xfId="4" applyFont="1" applyFill="1" applyBorder="1" applyAlignment="1">
      <alignment horizontal="left" wrapText="1" indent="1"/>
    </xf>
    <xf numFmtId="0" fontId="6" fillId="0" borderId="0" xfId="0" applyFont="1"/>
    <xf numFmtId="3" fontId="7" fillId="0" borderId="16" xfId="4" quotePrefix="1" applyNumberFormat="1" applyFont="1" applyFill="1" applyBorder="1" applyAlignment="1">
      <alignment horizontal="right" indent="1"/>
    </xf>
    <xf numFmtId="3" fontId="7" fillId="0" borderId="28" xfId="4" applyNumberFormat="1" applyFont="1" applyFill="1" applyBorder="1" applyAlignment="1">
      <alignment horizontal="right" indent="1"/>
    </xf>
    <xf numFmtId="3" fontId="13" fillId="0" borderId="75" xfId="4" applyNumberFormat="1" applyFont="1" applyFill="1" applyBorder="1" applyAlignment="1">
      <alignment horizontal="right" wrapText="1" indent="1"/>
    </xf>
    <xf numFmtId="0" fontId="5" fillId="0" borderId="0" xfId="0" applyFont="1"/>
    <xf numFmtId="0" fontId="4" fillId="0" borderId="0" xfId="0" applyFont="1"/>
    <xf numFmtId="2" fontId="7" fillId="0" borderId="74" xfId="4" applyNumberFormat="1" applyFont="1" applyFill="1" applyBorder="1" applyAlignment="1">
      <alignment horizontal="left" wrapText="1" indent="1"/>
    </xf>
    <xf numFmtId="2" fontId="7" fillId="0" borderId="40" xfId="4" applyNumberFormat="1" applyFont="1" applyFill="1" applyBorder="1" applyAlignment="1">
      <alignment horizontal="left" wrapText="1" indent="1"/>
    </xf>
    <xf numFmtId="0" fontId="3" fillId="0" borderId="0" xfId="0" applyFont="1"/>
    <xf numFmtId="0" fontId="2" fillId="0" borderId="0" xfId="0" applyFont="1"/>
    <xf numFmtId="0" fontId="21" fillId="0" borderId="0" xfId="0" applyFont="1"/>
    <xf numFmtId="0" fontId="22" fillId="0" borderId="0" xfId="0" applyFont="1"/>
    <xf numFmtId="0" fontId="1" fillId="0" borderId="0" xfId="0" applyFont="1"/>
    <xf numFmtId="0" fontId="6" fillId="0" borderId="127" xfId="0" applyFont="1" applyBorder="1"/>
    <xf numFmtId="0" fontId="6" fillId="0" borderId="128" xfId="0" applyFont="1" applyBorder="1"/>
    <xf numFmtId="0" fontId="21" fillId="0" borderId="0" xfId="4" applyFont="1" applyFill="1" applyAlignment="1">
      <alignment horizontal="right" indent="1"/>
    </xf>
    <xf numFmtId="0" fontId="21" fillId="0" borderId="16" xfId="4" applyFont="1" applyFill="1" applyBorder="1" applyAlignment="1">
      <alignment horizontal="left" indent="1"/>
    </xf>
    <xf numFmtId="14" fontId="21" fillId="0" borderId="4" xfId="4" applyNumberFormat="1" applyFont="1" applyFill="1" applyBorder="1" applyAlignment="1">
      <alignment horizontal="right" indent="1"/>
    </xf>
    <xf numFmtId="1" fontId="21" fillId="0" borderId="5" xfId="4" applyNumberFormat="1" applyFont="1" applyFill="1" applyBorder="1" applyAlignment="1">
      <alignment horizontal="right" indent="1"/>
    </xf>
    <xf numFmtId="164" fontId="21" fillId="0" borderId="56" xfId="4" applyNumberFormat="1" applyFont="1" applyFill="1" applyBorder="1" applyAlignment="1">
      <alignment horizontal="right" indent="1"/>
    </xf>
    <xf numFmtId="166" fontId="21" fillId="0" borderId="40" xfId="4" applyNumberFormat="1" applyFont="1" applyFill="1" applyBorder="1" applyAlignment="1">
      <alignment horizontal="right" indent="1"/>
    </xf>
    <xf numFmtId="166" fontId="21" fillId="0" borderId="41" xfId="4" applyNumberFormat="1" applyFont="1" applyFill="1" applyBorder="1" applyAlignment="1">
      <alignment horizontal="right" indent="1"/>
    </xf>
    <xf numFmtId="14" fontId="21" fillId="0" borderId="26" xfId="4" applyNumberFormat="1" applyFont="1" applyFill="1" applyBorder="1" applyAlignment="1">
      <alignment horizontal="right" indent="1"/>
    </xf>
    <xf numFmtId="164" fontId="21" fillId="0" borderId="18" xfId="4" applyNumberFormat="1" applyFont="1" applyFill="1" applyBorder="1" applyAlignment="1">
      <alignment horizontal="right" indent="1"/>
    </xf>
    <xf numFmtId="1" fontId="21" fillId="0" borderId="16" xfId="4" applyNumberFormat="1" applyFont="1" applyFill="1" applyBorder="1" applyAlignment="1">
      <alignment horizontal="left" indent="1"/>
    </xf>
    <xf numFmtId="2" fontId="21" fillId="0" borderId="74" xfId="4" applyNumberFormat="1" applyFont="1" applyFill="1" applyBorder="1" applyAlignment="1">
      <alignment horizontal="right" indent="1"/>
    </xf>
    <xf numFmtId="2" fontId="21" fillId="0" borderId="74" xfId="4" applyNumberFormat="1" applyFont="1" applyFill="1" applyBorder="1" applyAlignment="1">
      <alignment horizontal="left" indent="1"/>
    </xf>
    <xf numFmtId="0" fontId="21" fillId="0" borderId="57" xfId="4" applyFont="1" applyFill="1" applyBorder="1" applyAlignment="1">
      <alignment horizontal="right" vertical="center" wrapText="1" indent="1"/>
    </xf>
    <xf numFmtId="0" fontId="21" fillId="0" borderId="28" xfId="4" applyFont="1" applyFill="1" applyBorder="1" applyAlignment="1">
      <alignment horizontal="right" indent="1"/>
    </xf>
    <xf numFmtId="1" fontId="21" fillId="0" borderId="40" xfId="4" applyNumberFormat="1" applyFont="1" applyFill="1" applyBorder="1" applyAlignment="1">
      <alignment horizontal="right" indent="1"/>
    </xf>
    <xf numFmtId="0" fontId="21" fillId="2" borderId="0" xfId="4" applyFont="1" applyFill="1" applyAlignment="1">
      <alignment horizontal="right" indent="1"/>
    </xf>
    <xf numFmtId="0" fontId="21" fillId="2" borderId="16" xfId="4" applyFont="1" applyFill="1" applyBorder="1" applyAlignment="1">
      <alignment horizontal="left" indent="1"/>
    </xf>
    <xf numFmtId="14" fontId="21" fillId="2" borderId="4" xfId="4" applyNumberFormat="1" applyFont="1" applyFill="1" applyBorder="1" applyAlignment="1">
      <alignment horizontal="right" indent="1"/>
    </xf>
    <xf numFmtId="1" fontId="21" fillId="2" borderId="5" xfId="4" applyNumberFormat="1" applyFont="1" applyFill="1" applyBorder="1" applyAlignment="1">
      <alignment horizontal="right" indent="1"/>
    </xf>
    <xf numFmtId="164" fontId="21" fillId="2" borderId="56" xfId="4" applyNumberFormat="1" applyFont="1" applyFill="1" applyBorder="1" applyAlignment="1">
      <alignment horizontal="right" indent="1"/>
    </xf>
    <xf numFmtId="166" fontId="21" fillId="2" borderId="40" xfId="4" applyNumberFormat="1" applyFont="1" applyFill="1" applyBorder="1" applyAlignment="1">
      <alignment horizontal="right" indent="1"/>
    </xf>
    <xf numFmtId="166" fontId="21" fillId="2" borderId="41" xfId="4" applyNumberFormat="1" applyFont="1" applyFill="1" applyBorder="1" applyAlignment="1">
      <alignment horizontal="right" indent="1"/>
    </xf>
    <xf numFmtId="14" fontId="21" fillId="2" borderId="26" xfId="4" applyNumberFormat="1" applyFont="1" applyFill="1" applyBorder="1" applyAlignment="1">
      <alignment horizontal="right" indent="1"/>
    </xf>
    <xf numFmtId="164" fontId="21" fillId="2" borderId="18" xfId="4" applyNumberFormat="1" applyFont="1" applyFill="1" applyBorder="1" applyAlignment="1">
      <alignment horizontal="right" indent="1"/>
    </xf>
    <xf numFmtId="1" fontId="21" fillId="2" borderId="16" xfId="4" applyNumberFormat="1" applyFont="1" applyFill="1" applyBorder="1" applyAlignment="1">
      <alignment horizontal="right" indent="1"/>
    </xf>
    <xf numFmtId="2" fontId="21" fillId="2" borderId="74" xfId="4" applyNumberFormat="1" applyFont="1" applyFill="1" applyBorder="1" applyAlignment="1">
      <alignment horizontal="right" indent="1"/>
    </xf>
    <xf numFmtId="2" fontId="21" fillId="2" borderId="74" xfId="4" applyNumberFormat="1" applyFont="1" applyFill="1" applyBorder="1" applyAlignment="1">
      <alignment horizontal="left" indent="1"/>
    </xf>
    <xf numFmtId="0" fontId="21" fillId="2" borderId="57" xfId="4" applyFont="1" applyFill="1" applyBorder="1" applyAlignment="1">
      <alignment horizontal="right" vertical="center" wrapText="1" indent="1"/>
    </xf>
    <xf numFmtId="0" fontId="21" fillId="2" borderId="28" xfId="4" applyFont="1" applyFill="1" applyBorder="1" applyAlignment="1">
      <alignment horizontal="right" indent="1"/>
    </xf>
    <xf numFmtId="1" fontId="21" fillId="2" borderId="40" xfId="4" applyNumberFormat="1" applyFont="1" applyFill="1" applyBorder="1" applyAlignment="1">
      <alignment horizontal="right" indent="1"/>
    </xf>
    <xf numFmtId="166" fontId="21" fillId="2" borderId="119" xfId="4" applyNumberFormat="1" applyFont="1" applyFill="1" applyBorder="1" applyAlignment="1">
      <alignment horizontal="right" indent="1"/>
    </xf>
    <xf numFmtId="166" fontId="21" fillId="2" borderId="120" xfId="4" applyNumberFormat="1" applyFont="1" applyFill="1" applyBorder="1" applyAlignment="1">
      <alignment horizontal="right" indent="1"/>
    </xf>
    <xf numFmtId="14" fontId="21" fillId="2" borderId="3" xfId="4" applyNumberFormat="1" applyFont="1" applyFill="1" applyBorder="1" applyAlignment="1">
      <alignment horizontal="right" indent="1"/>
    </xf>
    <xf numFmtId="1" fontId="21" fillId="2" borderId="1" xfId="4" applyNumberFormat="1" applyFont="1" applyFill="1" applyBorder="1" applyAlignment="1">
      <alignment horizontal="right" indent="1"/>
    </xf>
    <xf numFmtId="164" fontId="21" fillId="2" borderId="19" xfId="4" applyNumberFormat="1" applyFont="1" applyFill="1" applyBorder="1" applyAlignment="1">
      <alignment horizontal="right" indent="1"/>
    </xf>
    <xf numFmtId="1" fontId="21" fillId="2" borderId="20" xfId="4" applyNumberFormat="1" applyFont="1" applyFill="1" applyBorder="1" applyAlignment="1">
      <alignment horizontal="right" indent="1"/>
    </xf>
    <xf numFmtId="2" fontId="21" fillId="2" borderId="105" xfId="4" applyNumberFormat="1" applyFont="1" applyFill="1" applyBorder="1" applyAlignment="1">
      <alignment horizontal="right" indent="1"/>
    </xf>
    <xf numFmtId="2" fontId="21" fillId="2" borderId="106" xfId="4" applyNumberFormat="1" applyFont="1" applyFill="1" applyBorder="1" applyAlignment="1">
      <alignment horizontal="left" indent="1"/>
    </xf>
    <xf numFmtId="0" fontId="21" fillId="2" borderId="58" xfId="4" applyFont="1" applyFill="1" applyBorder="1" applyAlignment="1">
      <alignment horizontal="right" vertical="center" wrapText="1" indent="1"/>
    </xf>
    <xf numFmtId="0" fontId="21" fillId="2" borderId="53" xfId="4" applyFont="1" applyFill="1" applyBorder="1" applyAlignment="1">
      <alignment horizontal="right" indent="1"/>
    </xf>
    <xf numFmtId="1" fontId="21" fillId="2" borderId="64" xfId="4" applyNumberFormat="1" applyFont="1" applyFill="1" applyBorder="1" applyAlignment="1">
      <alignment horizontal="right" indent="1"/>
    </xf>
    <xf numFmtId="0" fontId="24" fillId="0" borderId="0" xfId="9" applyFont="1"/>
    <xf numFmtId="0" fontId="23" fillId="0" borderId="0" xfId="9"/>
    <xf numFmtId="21" fontId="24" fillId="0" borderId="0" xfId="9" applyNumberFormat="1" applyFont="1"/>
    <xf numFmtId="0" fontId="7" fillId="0" borderId="0" xfId="9" applyFont="1"/>
    <xf numFmtId="21" fontId="7" fillId="0" borderId="0" xfId="9" applyNumberFormat="1" applyFont="1"/>
    <xf numFmtId="21" fontId="7" fillId="0" borderId="0" xfId="0" applyNumberFormat="1" applyFont="1"/>
    <xf numFmtId="0" fontId="9" fillId="0" borderId="0" xfId="3"/>
    <xf numFmtId="0" fontId="7" fillId="0" borderId="0" xfId="3" applyFont="1"/>
    <xf numFmtId="0" fontId="7" fillId="0" borderId="27" xfId="4" applyFont="1" applyFill="1" applyBorder="1" applyAlignment="1">
      <alignment horizontal="center" vertical="center"/>
    </xf>
    <xf numFmtId="0" fontId="7" fillId="0" borderId="109" xfId="4" applyFont="1" applyFill="1" applyBorder="1" applyAlignment="1">
      <alignment horizontal="center" vertical="center"/>
    </xf>
    <xf numFmtId="0" fontId="7" fillId="0" borderId="101" xfId="4" applyFont="1" applyFill="1" applyBorder="1" applyAlignment="1">
      <alignment horizontal="center" vertical="center"/>
    </xf>
    <xf numFmtId="0" fontId="7" fillId="0" borderId="93" xfId="4" applyFont="1" applyFill="1" applyBorder="1" applyAlignment="1">
      <alignment horizontal="center" vertical="center"/>
    </xf>
    <xf numFmtId="0" fontId="7" fillId="0" borderId="110" xfId="4" applyFont="1" applyFill="1" applyBorder="1" applyAlignment="1">
      <alignment horizontal="center" vertical="center"/>
    </xf>
    <xf numFmtId="165" fontId="7" fillId="0" borderId="27" xfId="4" applyNumberFormat="1" applyFont="1" applyFill="1" applyBorder="1" applyAlignment="1">
      <alignment horizontal="center" vertical="center"/>
    </xf>
    <xf numFmtId="165" fontId="7" fillId="0" borderId="21" xfId="4" applyNumberFormat="1" applyFont="1" applyFill="1" applyBorder="1" applyAlignment="1">
      <alignment horizontal="center" vertical="center"/>
    </xf>
    <xf numFmtId="165" fontId="7" fillId="0" borderId="108" xfId="4" applyNumberFormat="1" applyFont="1" applyFill="1" applyBorder="1" applyAlignment="1">
      <alignment horizontal="center" vertical="center"/>
    </xf>
    <xf numFmtId="0" fontId="7" fillId="0" borderId="108" xfId="4" applyFont="1" applyFill="1" applyBorder="1" applyAlignment="1">
      <alignment horizontal="center" vertical="center"/>
    </xf>
    <xf numFmtId="0" fontId="7" fillId="0" borderId="21" xfId="4" applyFont="1" applyFill="1" applyBorder="1" applyAlignment="1">
      <alignment horizontal="center" vertical="center"/>
    </xf>
    <xf numFmtId="0" fontId="7" fillId="0" borderId="27" xfId="4" applyFont="1" applyFill="1" applyBorder="1" applyAlignment="1">
      <alignment horizontal="center" vertical="center" wrapText="1"/>
    </xf>
    <xf numFmtId="0" fontId="7" fillId="0" borderId="101" xfId="4" applyFont="1" applyFill="1" applyBorder="1" applyAlignment="1">
      <alignment horizontal="center" vertical="center" wrapText="1"/>
    </xf>
    <xf numFmtId="0" fontId="13" fillId="0" borderId="95" xfId="4" applyFont="1" applyFill="1" applyBorder="1" applyAlignment="1">
      <alignment horizontal="center" vertical="center"/>
    </xf>
    <xf numFmtId="0" fontId="7" fillId="0" borderId="86" xfId="4" applyFont="1" applyFill="1" applyBorder="1" applyAlignment="1">
      <alignment horizontal="center" vertical="center"/>
    </xf>
    <xf numFmtId="0" fontId="13" fillId="0" borderId="95" xfId="4" applyFont="1" applyFill="1" applyBorder="1" applyAlignment="1">
      <alignment horizontal="center" vertical="center" wrapText="1"/>
    </xf>
    <xf numFmtId="0" fontId="7" fillId="0" borderId="86" xfId="4" applyFont="1" applyFill="1" applyBorder="1" applyAlignment="1">
      <alignment horizontal="center" vertical="center" wrapText="1"/>
    </xf>
    <xf numFmtId="0" fontId="19" fillId="0" borderId="121" xfId="4" applyFont="1" applyFill="1" applyBorder="1" applyAlignment="1">
      <alignment horizontal="center"/>
    </xf>
    <xf numFmtId="0" fontId="0" fillId="0" borderId="112" xfId="0" applyBorder="1" applyAlignment="1">
      <alignment horizontal="center"/>
    </xf>
    <xf numFmtId="0" fontId="13" fillId="0" borderId="59" xfId="4" applyFont="1" applyFill="1" applyBorder="1" applyAlignment="1">
      <alignment horizontal="center" vertical="center"/>
    </xf>
    <xf numFmtId="0" fontId="7" fillId="0" borderId="32" xfId="4" applyFont="1" applyFill="1" applyBorder="1" applyAlignment="1">
      <alignment horizontal="center" vertical="center"/>
    </xf>
    <xf numFmtId="0" fontId="7" fillId="0" borderId="98" xfId="4" applyFont="1" applyFill="1" applyBorder="1" applyAlignment="1">
      <alignment horizontal="center" vertical="center"/>
    </xf>
    <xf numFmtId="0" fontId="7" fillId="0" borderId="97" xfId="4" applyFont="1" applyFill="1" applyBorder="1" applyAlignment="1">
      <alignment horizontal="center" vertical="center"/>
    </xf>
    <xf numFmtId="0" fontId="17" fillId="0" borderId="94" xfId="4" applyFont="1" applyFill="1" applyBorder="1" applyAlignment="1"/>
    <xf numFmtId="0" fontId="18" fillId="0" borderId="79" xfId="4" applyFont="1" applyFill="1" applyBorder="1" applyAlignment="1"/>
    <xf numFmtId="0" fontId="19" fillId="0" borderId="111" xfId="4" applyFont="1" applyFill="1" applyBorder="1" applyAlignment="1">
      <alignment horizontal="center"/>
    </xf>
    <xf numFmtId="0" fontId="7" fillId="0" borderId="113" xfId="4" applyFont="1" applyFill="1" applyBorder="1" applyAlignment="1">
      <alignment horizontal="center"/>
    </xf>
    <xf numFmtId="0" fontId="7" fillId="0" borderId="126" xfId="4" applyFont="1" applyFill="1" applyBorder="1" applyAlignment="1">
      <alignment horizontal="center"/>
    </xf>
    <xf numFmtId="0" fontId="13" fillId="0" borderId="63" xfId="4" applyFont="1" applyFill="1" applyBorder="1" applyAlignment="1">
      <alignment horizontal="center" vertical="center" wrapText="1"/>
    </xf>
    <xf numFmtId="0" fontId="7" fillId="0" borderId="0" xfId="4" applyFont="1" applyFill="1" applyAlignment="1">
      <alignment horizontal="center" vertical="center" wrapText="1"/>
    </xf>
    <xf numFmtId="0" fontId="7" fillId="0" borderId="51" xfId="4" applyFont="1" applyFill="1" applyBorder="1" applyAlignment="1">
      <alignment horizontal="center" vertical="center"/>
    </xf>
    <xf numFmtId="0" fontId="13" fillId="0" borderId="32" xfId="4" applyFont="1" applyFill="1" applyBorder="1" applyAlignment="1">
      <alignment horizontal="center" vertical="center"/>
    </xf>
    <xf numFmtId="0" fontId="11" fillId="0" borderId="86" xfId="4" applyFill="1" applyBorder="1" applyAlignment="1">
      <alignment horizontal="center" vertical="center"/>
    </xf>
    <xf numFmtId="0" fontId="7" fillId="0" borderId="95" xfId="4" applyFont="1" applyFill="1" applyBorder="1" applyAlignment="1">
      <alignment horizontal="center" vertical="center"/>
    </xf>
    <xf numFmtId="0" fontId="7" fillId="0" borderId="95" xfId="4" applyFont="1" applyFill="1" applyBorder="1" applyAlignment="1">
      <alignment horizontal="center" vertical="center" wrapText="1"/>
    </xf>
    <xf numFmtId="0" fontId="7" fillId="0" borderId="59" xfId="4" applyFont="1" applyFill="1" applyBorder="1" applyAlignment="1">
      <alignment horizontal="center" vertical="center" wrapText="1"/>
    </xf>
    <xf numFmtId="0" fontId="7" fillId="0" borderId="32" xfId="4" applyFont="1" applyFill="1" applyBorder="1" applyAlignment="1">
      <alignment horizontal="center" vertical="center" wrapText="1"/>
    </xf>
    <xf numFmtId="0" fontId="7" fillId="0" borderId="114" xfId="4" applyFont="1" applyFill="1" applyBorder="1" applyAlignment="1">
      <alignment horizontal="center" vertical="center"/>
    </xf>
    <xf numFmtId="165" fontId="7" fillId="0" borderId="59" xfId="4" applyNumberFormat="1" applyFont="1" applyFill="1" applyBorder="1" applyAlignment="1">
      <alignment horizontal="center" vertical="center"/>
    </xf>
    <xf numFmtId="0" fontId="7" fillId="0" borderId="59" xfId="4" applyFont="1" applyFill="1" applyBorder="1" applyAlignment="1">
      <alignment horizontal="center" vertical="center"/>
    </xf>
    <xf numFmtId="0" fontId="13" fillId="0" borderId="59" xfId="4" applyFont="1" applyFill="1" applyBorder="1" applyAlignment="1">
      <alignment horizontal="center" vertical="center" wrapText="1"/>
    </xf>
    <xf numFmtId="0" fontId="7" fillId="0" borderId="51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1" fillId="0" borderId="0" xfId="4" applyFill="1" applyBorder="1" applyAlignment="1">
      <alignment horizontal="center" vertical="center" wrapText="1"/>
    </xf>
    <xf numFmtId="0" fontId="13" fillId="0" borderId="63" xfId="4" applyFont="1" applyFill="1" applyBorder="1" applyAlignment="1">
      <alignment horizontal="center" vertical="center"/>
    </xf>
    <xf numFmtId="0" fontId="11" fillId="0" borderId="63" xfId="4" applyFill="1" applyBorder="1" applyAlignment="1">
      <alignment horizontal="center" vertical="center"/>
    </xf>
    <xf numFmtId="0" fontId="13" fillId="0" borderId="0" xfId="4" applyFont="1" applyFill="1" applyBorder="1" applyAlignment="1">
      <alignment horizontal="center" vertical="center"/>
    </xf>
    <xf numFmtId="0" fontId="11" fillId="0" borderId="0" xfId="4" applyFill="1" applyBorder="1" applyAlignment="1">
      <alignment horizontal="center" vertical="center"/>
    </xf>
    <xf numFmtId="0" fontId="11" fillId="0" borderId="32" xfId="4" applyFill="1" applyBorder="1" applyAlignment="1">
      <alignment horizontal="center" vertical="center"/>
    </xf>
    <xf numFmtId="165" fontId="13" fillId="0" borderId="59" xfId="4" applyNumberFormat="1" applyFont="1" applyFill="1" applyBorder="1" applyAlignment="1">
      <alignment horizontal="center" vertical="center"/>
    </xf>
    <xf numFmtId="0" fontId="13" fillId="0" borderId="32" xfId="4" applyFont="1" applyFill="1" applyBorder="1" applyAlignment="1">
      <alignment horizontal="center" vertical="center" wrapText="1"/>
    </xf>
    <xf numFmtId="0" fontId="0" fillId="0" borderId="97" xfId="0" applyFill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 wrapText="1"/>
    </xf>
    <xf numFmtId="0" fontId="0" fillId="0" borderId="98" xfId="0" applyFill="1" applyBorder="1" applyAlignment="1">
      <alignment horizontal="center" vertical="center" wrapText="1"/>
    </xf>
    <xf numFmtId="0" fontId="13" fillId="0" borderId="51" xfId="4" applyFont="1" applyFill="1" applyBorder="1" applyAlignment="1">
      <alignment horizontal="center" vertical="center"/>
    </xf>
    <xf numFmtId="0" fontId="13" fillId="0" borderId="0" xfId="4" applyFont="1" applyFill="1" applyAlignment="1">
      <alignment horizontal="center" vertical="center" wrapText="1"/>
    </xf>
    <xf numFmtId="0" fontId="0" fillId="0" borderId="0" xfId="0" applyFill="1" applyAlignment="1"/>
    <xf numFmtId="0" fontId="9" fillId="0" borderId="32" xfId="4" applyFont="1" applyFill="1" applyBorder="1" applyAlignment="1">
      <alignment horizontal="center" vertical="center"/>
    </xf>
    <xf numFmtId="0" fontId="13" fillId="0" borderId="86" xfId="4" applyFont="1" applyFill="1" applyBorder="1" applyAlignment="1">
      <alignment horizontal="center" vertical="center" wrapText="1"/>
    </xf>
    <xf numFmtId="0" fontId="13" fillId="0" borderId="86" xfId="4" applyFont="1" applyFill="1" applyBorder="1" applyAlignment="1">
      <alignment horizontal="center" vertical="center"/>
    </xf>
    <xf numFmtId="0" fontId="11" fillId="0" borderId="51" xfId="4" applyFill="1" applyBorder="1" applyAlignment="1">
      <alignment horizontal="center" vertical="center"/>
    </xf>
    <xf numFmtId="0" fontId="11" fillId="0" borderId="86" xfId="4" applyFill="1" applyBorder="1" applyAlignment="1">
      <alignment horizontal="center" vertical="center" wrapText="1"/>
    </xf>
    <xf numFmtId="165" fontId="13" fillId="0" borderId="59" xfId="4" applyNumberFormat="1" applyFont="1" applyFill="1" applyBorder="1" applyAlignment="1">
      <alignment horizontal="center"/>
    </xf>
    <xf numFmtId="0" fontId="11" fillId="0" borderId="51" xfId="4" applyFill="1" applyBorder="1" applyAlignment="1">
      <alignment horizontal="center"/>
    </xf>
    <xf numFmtId="0" fontId="11" fillId="0" borderId="32" xfId="4" applyFill="1" applyBorder="1" applyAlignment="1">
      <alignment horizontal="center"/>
    </xf>
    <xf numFmtId="0" fontId="7" fillId="0" borderId="93" xfId="4" applyFont="1" applyFill="1" applyBorder="1" applyAlignment="1">
      <alignment horizontal="center" vertical="center" wrapText="1"/>
    </xf>
    <xf numFmtId="0" fontId="7" fillId="0" borderId="101" xfId="2" applyBorder="1" applyAlignment="1">
      <alignment horizontal="center" vertical="center" wrapText="1"/>
    </xf>
    <xf numFmtId="0" fontId="7" fillId="0" borderId="93" xfId="2" applyBorder="1" applyAlignment="1">
      <alignment horizontal="center" vertical="center" wrapText="1"/>
    </xf>
    <xf numFmtId="0" fontId="7" fillId="0" borderId="99" xfId="2" applyBorder="1" applyAlignment="1">
      <alignment horizontal="center" vertical="center"/>
    </xf>
    <xf numFmtId="0" fontId="7" fillId="0" borderId="12" xfId="2" applyBorder="1" applyAlignment="1">
      <alignment horizontal="center" vertical="center"/>
    </xf>
    <xf numFmtId="0" fontId="7" fillId="0" borderId="23" xfId="2" applyBorder="1" applyAlignment="1">
      <alignment horizontal="center" vertical="center"/>
    </xf>
    <xf numFmtId="0" fontId="7" fillId="0" borderId="2" xfId="2" applyBorder="1" applyAlignment="1">
      <alignment horizontal="center" vertical="center"/>
    </xf>
    <xf numFmtId="0" fontId="7" fillId="0" borderId="3" xfId="2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5" fillId="0" borderId="0" xfId="0" applyFont="1"/>
  </cellXfs>
  <cellStyles count="10">
    <cellStyle name="Comma 2" xfId="1"/>
    <cellStyle name="Excel Built-in Normal" xfId="6"/>
    <cellStyle name="Normal" xfId="0" builtinId="0"/>
    <cellStyle name="Normal 2" xfId="2"/>
    <cellStyle name="Normal 2 2" xfId="3"/>
    <cellStyle name="Normal 3" xfId="4"/>
    <cellStyle name="Normal 4" xfId="5"/>
    <cellStyle name="Normal 4 2" xfId="7"/>
    <cellStyle name="Normal 5" xfId="8"/>
    <cellStyle name="Normal 6" xfId="9"/>
  </cellStyles>
  <dxfs count="23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rgb="FFC00000"/>
      </font>
    </dxf>
    <dxf>
      <font>
        <color rgb="FF0070C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 patternType="solid">
          <bgColor rgb="FFFFC7CE"/>
        </patternFill>
      </fill>
    </dxf>
    <dxf>
      <font>
        <color rgb="FFC00000"/>
      </font>
    </dxf>
    <dxf>
      <font>
        <color rgb="FF0070C0"/>
      </font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0070C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0070C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</dxf>
    <dxf>
      <font>
        <color rgb="FF0070C0"/>
      </font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ill>
        <patternFill>
          <bgColor rgb="FFFF0000"/>
        </pattern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ill>
        <patternFill>
          <bgColor rgb="FFFF0000"/>
        </pattern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ill>
        <patternFill>
          <bgColor rgb="FFFF0000"/>
        </pattern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ill>
        <patternFill>
          <bgColor rgb="FFFF0000"/>
        </pattern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ill>
        <patternFill>
          <bgColor rgb="FFFF0000"/>
        </pattern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ill>
        <patternFill>
          <bgColor rgb="FFFF0000"/>
        </pattern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ill>
        <patternFill>
          <bgColor rgb="FFFF0000"/>
        </pattern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ill>
        <patternFill>
          <bgColor rgb="FFFF0000"/>
        </pattern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ill>
        <patternFill>
          <bgColor rgb="FFFF0000"/>
        </pattern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connections" Target="connection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externalLink" Target="externalLinks/externalLink1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lbrigh/AppData/Local/Temp/1/scp21409/home/data/sciops/XXM/s89/PSIV/fr/CIRS_S89_Observations_1503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S Table IDs"/>
      <sheetName val="CIRS Triggers"/>
      <sheetName val="CIRS EM Test Results"/>
      <sheetName val="Compare"/>
      <sheetName val="Deep Space Cals"/>
      <sheetName val="DSCAL Trigger Edits"/>
      <sheetName val="CIRS DSCAL Info"/>
      <sheetName val="RWA Data"/>
      <sheetName val="Saturn"/>
      <sheetName val="Icy Satellites"/>
      <sheetName val="Icy Trigger Edits"/>
      <sheetName val="Titan"/>
      <sheetName val="Titan Data"/>
      <sheetName val="Titan Trigger Edits"/>
      <sheetName val="Rings"/>
      <sheetName val="Rings Trigger Edits"/>
      <sheetName val="Table 600"/>
      <sheetName val="Table 601"/>
      <sheetName val="Table 602"/>
      <sheetName val="Table 603"/>
      <sheetName val="Table 604"/>
      <sheetName val="Table 605"/>
      <sheetName val="Table 606"/>
      <sheetName val="Table 607"/>
      <sheetName val="Table 750"/>
      <sheetName val="Table 751"/>
      <sheetName val="Table 754"/>
      <sheetName val="Table 756"/>
      <sheetName val="Table 759"/>
      <sheetName val="Table 772"/>
      <sheetName val="Table 773"/>
      <sheetName val="Table 774"/>
      <sheetName val="Table 775"/>
      <sheetName val="Table 777"/>
      <sheetName val="Table 778"/>
      <sheetName val="Table 779"/>
      <sheetName val="Table 782"/>
      <sheetName val="Table 785"/>
      <sheetName val="Table 787"/>
      <sheetName val="Table 790"/>
      <sheetName val="Table 793"/>
      <sheetName val="Table 797"/>
      <sheetName val="Table 801"/>
      <sheetName val="Table 804"/>
      <sheetName val="Table 806"/>
      <sheetName val="Table 807"/>
      <sheetName val="Table 811"/>
      <sheetName val="Table 812"/>
      <sheetName val="Table 814"/>
      <sheetName val="Table 817"/>
      <sheetName val="Table 818"/>
      <sheetName val="Table 821"/>
      <sheetName val="Table 822"/>
      <sheetName val="Table 823"/>
      <sheetName val="Table 824"/>
      <sheetName val="Table 825"/>
      <sheetName val="Table 828"/>
      <sheetName val="Table 829"/>
      <sheetName val="Table 830"/>
      <sheetName val="Table 832"/>
      <sheetName val="Table 834"/>
      <sheetName val="Table 836"/>
      <sheetName val="Table 841"/>
      <sheetName val="Table 842"/>
      <sheetName val="Table 843"/>
      <sheetName val="Table 846"/>
      <sheetName val="Table 848"/>
      <sheetName val="Table 849"/>
      <sheetName val="Table 850"/>
      <sheetName val="Table 851"/>
      <sheetName val="Table 852"/>
      <sheetName val="Table 853"/>
      <sheetName val="Table 855"/>
      <sheetName val="Table 854"/>
      <sheetName val="Table 856"/>
      <sheetName val="Table 857"/>
      <sheetName val="Table 858"/>
      <sheetName val="Table 859"/>
      <sheetName val="Table 861"/>
      <sheetName val="Table 862"/>
      <sheetName val="Table 877"/>
      <sheetName val="Table 880"/>
      <sheetName val="Table 881"/>
      <sheetName val="Table 883"/>
      <sheetName val="Table 884"/>
      <sheetName val="Table 886"/>
      <sheetName val="SSR Load Size"/>
      <sheetName val="CIRS SASF Compare"/>
      <sheetName val="CIRS Table 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queryTables/queryTable1.xml><?xml version="1.0" encoding="utf-8"?>
<queryTable xmlns="http://schemas.openxmlformats.org/spreadsheetml/2006/main" name="CIMS_CIRS_2003-10-03_7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CIMS_CIRS_2003-11-02_6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97_SIP_Port3_rwa_summary_160927_144247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413"/>
  <sheetViews>
    <sheetView tabSelected="1" topLeftCell="A2" zoomScale="85" zoomScaleNormal="85" workbookViewId="0">
      <pane ySplit="5" topLeftCell="A7" activePane="bottomLeft" state="frozen"/>
      <selection activeCell="A2" sqref="A2"/>
      <selection pane="bottomLeft" activeCell="A2" sqref="A2"/>
    </sheetView>
  </sheetViews>
  <sheetFormatPr defaultColWidth="8.875" defaultRowHeight="15" x14ac:dyDescent="0.2"/>
  <cols>
    <col min="1" max="1" width="6.375" style="14" bestFit="1" customWidth="1"/>
    <col min="2" max="2" width="46" style="14" bestFit="1" customWidth="1"/>
    <col min="3" max="12" width="16" style="14" customWidth="1"/>
    <col min="13" max="13" width="15" style="14" customWidth="1"/>
    <col min="14" max="14" width="15.625" style="14" customWidth="1"/>
    <col min="15" max="15" width="41.375" style="14" bestFit="1" customWidth="1"/>
    <col min="16" max="16" width="62.625" style="14" customWidth="1"/>
    <col min="17" max="17" width="10.375" style="14" bestFit="1" customWidth="1"/>
    <col min="18" max="16384" width="8.875" style="14"/>
  </cols>
  <sheetData>
    <row r="1" spans="1:16" x14ac:dyDescent="0.2">
      <c r="A1" s="8"/>
      <c r="B1" s="9"/>
      <c r="C1" s="10"/>
      <c r="D1" s="11"/>
      <c r="E1" s="11"/>
      <c r="F1" s="12"/>
      <c r="G1" s="11"/>
      <c r="H1" s="12"/>
      <c r="I1" s="10"/>
      <c r="J1" s="11"/>
      <c r="K1" s="11"/>
      <c r="L1" s="12"/>
      <c r="M1" s="11"/>
      <c r="N1" s="13"/>
      <c r="O1" s="8"/>
      <c r="P1" s="8"/>
    </row>
    <row r="2" spans="1:16" x14ac:dyDescent="0.2">
      <c r="N2" s="15" t="s">
        <v>36</v>
      </c>
      <c r="O2" s="14">
        <v>750</v>
      </c>
    </row>
    <row r="4" spans="1:16" ht="15.75" thickBot="1" x14ac:dyDescent="0.25"/>
    <row r="5" spans="1:16" ht="21.6" customHeight="1" x14ac:dyDescent="0.2">
      <c r="B5" s="577" t="s">
        <v>17</v>
      </c>
      <c r="C5" s="580" t="s">
        <v>18</v>
      </c>
      <c r="D5" s="581"/>
      <c r="E5" s="581"/>
      <c r="F5" s="582"/>
      <c r="G5" s="575" t="s">
        <v>19</v>
      </c>
      <c r="H5" s="583"/>
      <c r="I5" s="580" t="s">
        <v>20</v>
      </c>
      <c r="J5" s="584"/>
      <c r="K5" s="584"/>
      <c r="L5" s="583"/>
      <c r="M5" s="585" t="s">
        <v>21</v>
      </c>
      <c r="N5" s="586" t="s">
        <v>22</v>
      </c>
      <c r="O5" s="575" t="s">
        <v>37</v>
      </c>
      <c r="P5" s="577" t="s">
        <v>38</v>
      </c>
    </row>
    <row r="6" spans="1:16" ht="21.6" customHeight="1" thickBot="1" x14ac:dyDescent="0.25">
      <c r="B6" s="579"/>
      <c r="C6" s="16" t="s">
        <v>25</v>
      </c>
      <c r="D6" s="17" t="s">
        <v>26</v>
      </c>
      <c r="E6" s="18" t="s">
        <v>27</v>
      </c>
      <c r="F6" s="19" t="s">
        <v>28</v>
      </c>
      <c r="G6" s="20" t="s">
        <v>33</v>
      </c>
      <c r="H6" s="19" t="s">
        <v>28</v>
      </c>
      <c r="I6" s="16" t="s">
        <v>25</v>
      </c>
      <c r="J6" s="17" t="s">
        <v>26</v>
      </c>
      <c r="K6" s="18" t="s">
        <v>27</v>
      </c>
      <c r="L6" s="19" t="s">
        <v>28</v>
      </c>
      <c r="M6" s="576"/>
      <c r="N6" s="578"/>
      <c r="O6" s="576"/>
      <c r="P6" s="578"/>
    </row>
    <row r="7" spans="1:16" x14ac:dyDescent="0.2">
      <c r="A7" s="21"/>
      <c r="B7" s="22"/>
      <c r="C7" s="23"/>
      <c r="D7" s="24"/>
      <c r="E7" s="25"/>
      <c r="F7" s="26"/>
      <c r="G7" s="27"/>
      <c r="H7" s="28"/>
      <c r="I7" s="23"/>
      <c r="J7" s="29"/>
      <c r="K7" s="30"/>
      <c r="L7" s="31"/>
      <c r="M7" s="22"/>
      <c r="N7" s="32"/>
      <c r="O7" s="22"/>
      <c r="P7" s="33"/>
    </row>
    <row r="8" spans="1:16" x14ac:dyDescent="0.2">
      <c r="A8" s="21"/>
      <c r="B8" s="34" t="s">
        <v>361</v>
      </c>
      <c r="C8" s="35">
        <f t="shared" ref="C8:C71" si="0">DATE(D8,1,E8)</f>
        <v>42697</v>
      </c>
      <c r="D8" s="36">
        <v>2016</v>
      </c>
      <c r="E8" s="36">
        <v>328</v>
      </c>
      <c r="F8" s="37">
        <v>0.23819444444444446</v>
      </c>
      <c r="G8" s="38"/>
      <c r="H8" s="37"/>
      <c r="I8" s="35"/>
      <c r="J8" s="39"/>
      <c r="K8" s="40"/>
      <c r="L8" s="37"/>
      <c r="M8" s="41"/>
      <c r="N8" s="42"/>
      <c r="O8" s="43"/>
      <c r="P8" s="44"/>
    </row>
    <row r="9" spans="1:16" x14ac:dyDescent="0.2">
      <c r="A9" s="21"/>
      <c r="B9" s="45" t="s">
        <v>39</v>
      </c>
      <c r="C9" s="385">
        <f t="shared" si="0"/>
        <v>42697</v>
      </c>
      <c r="D9" s="386">
        <f>D8</f>
        <v>2016</v>
      </c>
      <c r="E9" s="386">
        <f>E8</f>
        <v>328</v>
      </c>
      <c r="F9" s="387">
        <f>F8</f>
        <v>0.23819444444444446</v>
      </c>
      <c r="G9" s="38">
        <f>IF((L9-F9)&gt;0,K9-E9,IF((L9-F9)=0,0,K9-E9 -$F$401))</f>
        <v>0</v>
      </c>
      <c r="H9" s="37">
        <f>IF((L9-F9)&gt;0,L9-F9,IF((L9-F9)=0,0,$H$401+L9-F9))</f>
        <v>3.472222222222543E-3</v>
      </c>
      <c r="I9" s="35">
        <f t="shared" ref="I9:I72" si="1">DATE(J9,1,K9)</f>
        <v>42697</v>
      </c>
      <c r="J9" s="47">
        <f>D10</f>
        <v>2016</v>
      </c>
      <c r="K9" s="36">
        <f>E10</f>
        <v>328</v>
      </c>
      <c r="L9" s="37">
        <f>F10</f>
        <v>0.241666666666667</v>
      </c>
      <c r="M9" s="41"/>
      <c r="N9" s="42"/>
      <c r="O9" s="43">
        <f>IF(MID(B9,6,7)="NO_DATA",50,IF(A9="", " ",$O$2+A9-1))</f>
        <v>50</v>
      </c>
      <c r="P9" s="44">
        <f>IF(O9=50,10,1)</f>
        <v>10</v>
      </c>
    </row>
    <row r="10" spans="1:16" x14ac:dyDescent="0.2">
      <c r="A10" s="21"/>
      <c r="B10" s="45" t="s">
        <v>364</v>
      </c>
      <c r="C10" s="35">
        <f t="shared" si="0"/>
        <v>42697</v>
      </c>
      <c r="D10" s="36">
        <v>2016</v>
      </c>
      <c r="E10" s="36">
        <v>328</v>
      </c>
      <c r="F10" s="37">
        <v>0.241666666666667</v>
      </c>
      <c r="G10" s="38">
        <v>0</v>
      </c>
      <c r="H10" s="37">
        <v>1.38888888888889E-3</v>
      </c>
      <c r="I10" s="35">
        <f t="shared" si="1"/>
        <v>42697</v>
      </c>
      <c r="J10" s="36">
        <v>2016</v>
      </c>
      <c r="K10" s="36">
        <v>328</v>
      </c>
      <c r="L10" s="37">
        <v>0.243055555555556</v>
      </c>
      <c r="M10" s="41">
        <v>0</v>
      </c>
      <c r="N10" s="42">
        <v>0</v>
      </c>
      <c r="O10" s="471" t="s">
        <v>636</v>
      </c>
      <c r="P10" s="472" t="s">
        <v>637</v>
      </c>
    </row>
    <row r="11" spans="1:16" x14ac:dyDescent="0.2">
      <c r="A11" s="21"/>
      <c r="B11" s="45" t="s">
        <v>40</v>
      </c>
      <c r="C11" s="35">
        <f t="shared" si="0"/>
        <v>42697</v>
      </c>
      <c r="D11" s="47">
        <f>J10</f>
        <v>2016</v>
      </c>
      <c r="E11" s="36">
        <f>K10</f>
        <v>328</v>
      </c>
      <c r="F11" s="37">
        <f>L10</f>
        <v>0.243055555555556</v>
      </c>
      <c r="G11" s="38">
        <f>IF((L11-F11)&gt;0,K11-E11,IF((L11-F11)=0,0,K11-E11 -$F$401))</f>
        <v>0</v>
      </c>
      <c r="H11" s="37">
        <f>IF((L11-F11)&gt;0,L11-F11,IF((L11-F11)=0,0,$H$401+L11-F11))</f>
        <v>8.9583333333332987E-2</v>
      </c>
      <c r="I11" s="35">
        <f t="shared" si="1"/>
        <v>42697</v>
      </c>
      <c r="J11" s="47">
        <f>D12</f>
        <v>2016</v>
      </c>
      <c r="K11" s="36">
        <f>E12</f>
        <v>328</v>
      </c>
      <c r="L11" s="37">
        <f>F12</f>
        <v>0.33263888888888898</v>
      </c>
      <c r="M11" s="41"/>
      <c r="N11" s="42"/>
      <c r="O11" s="43">
        <f>IF(VALUE(LEFT($O12,3))&lt;192,50,IF(VALUE(LEFT($O12,3))&gt;597,50,VLOOKUP(VLOOKUP(VALUE(LEFT($O12,3)),'CIRS Table Info'!$B$6:$J$425,2,FALSE),'CIRS Table Info'!$B$428:$C$431,2,FALSE)))</f>
        <v>602</v>
      </c>
      <c r="P11" s="44">
        <f>IF(O11=50,10,1)</f>
        <v>1</v>
      </c>
    </row>
    <row r="12" spans="1:16" x14ac:dyDescent="0.2">
      <c r="A12" s="21">
        <v>1</v>
      </c>
      <c r="B12" s="45" t="s">
        <v>365</v>
      </c>
      <c r="C12" s="35">
        <f t="shared" si="0"/>
        <v>42697</v>
      </c>
      <c r="D12" s="36">
        <v>2016</v>
      </c>
      <c r="E12" s="36">
        <v>328</v>
      </c>
      <c r="F12" s="37">
        <v>0.33263888888888898</v>
      </c>
      <c r="G12" s="38">
        <v>0</v>
      </c>
      <c r="H12" s="37">
        <v>0.91666666666666696</v>
      </c>
      <c r="I12" s="35">
        <f t="shared" si="1"/>
        <v>42698</v>
      </c>
      <c r="J12" s="36">
        <v>2016</v>
      </c>
      <c r="K12" s="36">
        <v>329</v>
      </c>
      <c r="L12" s="37">
        <v>0.249305555555556</v>
      </c>
      <c r="M12" s="41">
        <v>4000</v>
      </c>
      <c r="N12" s="42">
        <v>316.8</v>
      </c>
      <c r="O12" s="471" t="s">
        <v>638</v>
      </c>
      <c r="P12" s="472" t="s">
        <v>639</v>
      </c>
    </row>
    <row r="13" spans="1:16" x14ac:dyDescent="0.2">
      <c r="A13" s="21"/>
      <c r="B13" s="45" t="s">
        <v>41</v>
      </c>
      <c r="C13" s="35">
        <f t="shared" si="0"/>
        <v>42698</v>
      </c>
      <c r="D13" s="36">
        <f>J12</f>
        <v>2016</v>
      </c>
      <c r="E13" s="36">
        <f>K12</f>
        <v>329</v>
      </c>
      <c r="F13" s="37">
        <f>L12</f>
        <v>0.249305555555556</v>
      </c>
      <c r="G13" s="38">
        <f>IF((L13-F13)&gt;0,K13-E13,IF((L13-F13)=0,0,K13-E13 -$F$401))</f>
        <v>0</v>
      </c>
      <c r="H13" s="37">
        <f>IF((L13-F13)&gt;0,L13-F13,IF((L13-F13)=0,0,$H$401+L13-F13))</f>
        <v>0.17430555555555499</v>
      </c>
      <c r="I13" s="35">
        <f t="shared" si="1"/>
        <v>42698</v>
      </c>
      <c r="J13" s="47">
        <f>D14</f>
        <v>2016</v>
      </c>
      <c r="K13" s="36">
        <f>E14</f>
        <v>329</v>
      </c>
      <c r="L13" s="37">
        <f>F14</f>
        <v>0.42361111111111099</v>
      </c>
      <c r="M13" s="48"/>
      <c r="N13" s="48"/>
      <c r="O13" s="43">
        <f>IF(VALUE(LEFT($O14,3))&lt;192,50,IF(VALUE(LEFT($O14,3))&gt;597,50,VLOOKUP(VLOOKUP(VALUE(LEFT($O14,3)),'CIRS Table Info'!$B$6:$J$425,2,FALSE),'CIRS Table Info'!$B$428:$C$431,2,FALSE)))</f>
        <v>602</v>
      </c>
      <c r="P13" s="44">
        <f>IF(O13=50,10,1)</f>
        <v>1</v>
      </c>
    </row>
    <row r="14" spans="1:16" x14ac:dyDescent="0.2">
      <c r="A14" s="21">
        <v>2</v>
      </c>
      <c r="B14" s="45" t="s">
        <v>369</v>
      </c>
      <c r="C14" s="35">
        <f t="shared" si="0"/>
        <v>42698</v>
      </c>
      <c r="D14" s="36">
        <v>2016</v>
      </c>
      <c r="E14" s="36">
        <v>329</v>
      </c>
      <c r="F14" s="37">
        <v>0.42361111111111099</v>
      </c>
      <c r="G14" s="38">
        <v>0</v>
      </c>
      <c r="H14" s="37">
        <v>0.34930555555555598</v>
      </c>
      <c r="I14" s="35">
        <f t="shared" si="1"/>
        <v>42698</v>
      </c>
      <c r="J14" s="36">
        <v>2016</v>
      </c>
      <c r="K14" s="36">
        <v>329</v>
      </c>
      <c r="L14" s="37">
        <v>0.77291666666666703</v>
      </c>
      <c r="M14" s="41">
        <v>2000</v>
      </c>
      <c r="N14" s="42">
        <v>60.36</v>
      </c>
      <c r="O14" s="43">
        <v>572</v>
      </c>
      <c r="P14" s="44">
        <v>2</v>
      </c>
    </row>
    <row r="15" spans="1:16" x14ac:dyDescent="0.2">
      <c r="A15" s="21"/>
      <c r="B15" s="45" t="s">
        <v>42</v>
      </c>
      <c r="C15" s="35">
        <f t="shared" si="0"/>
        <v>42698</v>
      </c>
      <c r="D15" s="47">
        <f>J14</f>
        <v>2016</v>
      </c>
      <c r="E15" s="36">
        <f>K14</f>
        <v>329</v>
      </c>
      <c r="F15" s="37">
        <f>L14</f>
        <v>0.77291666666666703</v>
      </c>
      <c r="G15" s="38">
        <f>IF((L15-F15)&gt;0,K15-E15,IF((L15-F15)=0,0,K15-E15 -$F$401))</f>
        <v>0</v>
      </c>
      <c r="H15" s="37">
        <f>IF((L15-F15)&gt;0,L15-F15,IF((L15-F15)=0,0,$H$401+L15-F15))</f>
        <v>0.13194444444444398</v>
      </c>
      <c r="I15" s="35">
        <f t="shared" si="1"/>
        <v>42698</v>
      </c>
      <c r="J15" s="47">
        <f>D16</f>
        <v>2016</v>
      </c>
      <c r="K15" s="36">
        <f>E16</f>
        <v>329</v>
      </c>
      <c r="L15" s="37">
        <f>F16</f>
        <v>0.90486111111111101</v>
      </c>
      <c r="M15" s="41"/>
      <c r="N15" s="42"/>
      <c r="O15" s="43">
        <f>IF(VALUE(LEFT($O16,3))&lt;192,50,IF(VALUE(LEFT($O16,3))&gt;597,50,VLOOKUP(VLOOKUP(VALUE(LEFT($O16,3)),'CIRS Table Info'!$B$6:$J$425,2,FALSE),'CIRS Table Info'!$B$428:$C$431,2,FALSE)))</f>
        <v>50</v>
      </c>
      <c r="P15" s="44">
        <f t="shared" ref="P15:P23" si="2">IF(O15=50,10,1)</f>
        <v>10</v>
      </c>
    </row>
    <row r="16" spans="1:16" x14ac:dyDescent="0.2">
      <c r="A16" s="21">
        <v>3</v>
      </c>
      <c r="B16" s="45" t="s">
        <v>371</v>
      </c>
      <c r="C16" s="35">
        <f t="shared" si="0"/>
        <v>42698</v>
      </c>
      <c r="D16" s="36">
        <v>2016</v>
      </c>
      <c r="E16" s="36">
        <v>329</v>
      </c>
      <c r="F16" s="37">
        <v>0.90486111111111101</v>
      </c>
      <c r="G16" s="38">
        <v>0</v>
      </c>
      <c r="H16" s="37">
        <v>0.33333333333333298</v>
      </c>
      <c r="I16" s="35">
        <f t="shared" si="1"/>
        <v>42699</v>
      </c>
      <c r="J16" s="36">
        <v>2016</v>
      </c>
      <c r="K16" s="36">
        <v>330</v>
      </c>
      <c r="L16" s="37">
        <v>0.23819444444444399</v>
      </c>
      <c r="M16" s="41">
        <v>3000</v>
      </c>
      <c r="N16" s="42">
        <v>86.4</v>
      </c>
      <c r="O16" s="43">
        <f>IF(MID(B16,6,7)="NO_DATA",50,IF(N16=0,50,IF(A16="", " ",752)))</f>
        <v>752</v>
      </c>
      <c r="P16" s="44">
        <f t="shared" si="2"/>
        <v>1</v>
      </c>
    </row>
    <row r="17" spans="1:16" x14ac:dyDescent="0.2">
      <c r="A17" s="21"/>
      <c r="B17" s="45" t="s">
        <v>43</v>
      </c>
      <c r="C17" s="35">
        <f t="shared" si="0"/>
        <v>42699</v>
      </c>
      <c r="D17" s="47">
        <f>J16</f>
        <v>2016</v>
      </c>
      <c r="E17" s="36">
        <f>K16</f>
        <v>330</v>
      </c>
      <c r="F17" s="37">
        <f>L16</f>
        <v>0.23819444444444399</v>
      </c>
      <c r="G17" s="38">
        <f>IF((L17-F17)&gt;0,K17-E17,IF((L17-F17)=0,0,K17-E17 -$F$401))</f>
        <v>0</v>
      </c>
      <c r="H17" s="37">
        <f>IF((L17-F17)&gt;0,L17-F17,IF((L17-F17)=0,0,$H$401+L17-F17))</f>
        <v>0.40277777777777807</v>
      </c>
      <c r="I17" s="35">
        <f t="shared" si="1"/>
        <v>42699</v>
      </c>
      <c r="J17" s="47">
        <f>D18</f>
        <v>2016</v>
      </c>
      <c r="K17" s="36">
        <f>E18</f>
        <v>330</v>
      </c>
      <c r="L17" s="37">
        <f>F18</f>
        <v>0.64097222222222205</v>
      </c>
      <c r="M17" s="41"/>
      <c r="N17" s="42"/>
      <c r="O17" s="43">
        <f>IF(VALUE(LEFT($O18,3))&lt;192,50,IF(VALUE(LEFT($O18,3))&gt;597,50,VLOOKUP(VLOOKUP(VALUE(LEFT($O18,3)),'CIRS Table Info'!$B$6:$J$425,2,FALSE),'CIRS Table Info'!$B$428:$C$431,2,FALSE)))</f>
        <v>602</v>
      </c>
      <c r="P17" s="44">
        <f t="shared" si="2"/>
        <v>1</v>
      </c>
    </row>
    <row r="18" spans="1:16" x14ac:dyDescent="0.2">
      <c r="A18" s="21">
        <v>4</v>
      </c>
      <c r="B18" s="45" t="s">
        <v>372</v>
      </c>
      <c r="C18" s="35">
        <f t="shared" si="0"/>
        <v>42699</v>
      </c>
      <c r="D18" s="36">
        <v>2016</v>
      </c>
      <c r="E18" s="36">
        <v>330</v>
      </c>
      <c r="F18" s="37">
        <v>0.64097222222222205</v>
      </c>
      <c r="G18" s="38">
        <v>0</v>
      </c>
      <c r="H18" s="37">
        <v>0.131944444444444</v>
      </c>
      <c r="I18" s="35">
        <f t="shared" si="1"/>
        <v>42699</v>
      </c>
      <c r="J18" s="36">
        <v>2016</v>
      </c>
      <c r="K18" s="36">
        <v>330</v>
      </c>
      <c r="L18" s="37">
        <v>0.77291666666666703</v>
      </c>
      <c r="M18" s="41">
        <v>2000</v>
      </c>
      <c r="N18" s="42">
        <v>22.8</v>
      </c>
      <c r="O18" s="43">
        <v>472</v>
      </c>
      <c r="P18" s="44">
        <f t="shared" si="2"/>
        <v>1</v>
      </c>
    </row>
    <row r="19" spans="1:16" x14ac:dyDescent="0.2">
      <c r="A19" s="21"/>
      <c r="B19" s="45" t="s">
        <v>44</v>
      </c>
      <c r="C19" s="35">
        <f t="shared" si="0"/>
        <v>42699</v>
      </c>
      <c r="D19" s="47">
        <f>J18</f>
        <v>2016</v>
      </c>
      <c r="E19" s="36">
        <f>K18</f>
        <v>330</v>
      </c>
      <c r="F19" s="37">
        <f>L18</f>
        <v>0.77291666666666703</v>
      </c>
      <c r="G19" s="38">
        <f>IF((L19-F19)&gt;0,K19-E19,IF((L19-F19)=0,0,K19-E19 -$F$401))</f>
        <v>0</v>
      </c>
      <c r="H19" s="37">
        <f>IF((L19-F19)&gt;0,L19-F19,IF((L19-F19)=0,0,$H$401+L19-F19))</f>
        <v>0.13194444444444398</v>
      </c>
      <c r="I19" s="35">
        <f t="shared" si="1"/>
        <v>42699</v>
      </c>
      <c r="J19" s="47">
        <f>D20</f>
        <v>2016</v>
      </c>
      <c r="K19" s="36">
        <f>E20</f>
        <v>330</v>
      </c>
      <c r="L19" s="37">
        <f>F20</f>
        <v>0.90486111111111101</v>
      </c>
      <c r="M19" s="41"/>
      <c r="N19" s="42"/>
      <c r="O19" s="43">
        <f>IF(VALUE(LEFT($O20,3))&lt;192,50,IF(VALUE(LEFT($O20,3))&gt;597,50,VLOOKUP(VLOOKUP(VALUE(LEFT($O20,3)),'CIRS Table Info'!$B$6:$J$425,2,FALSE),'CIRS Table Info'!$B$428:$C$431,2,FALSE)))</f>
        <v>50</v>
      </c>
      <c r="P19" s="44">
        <f t="shared" si="2"/>
        <v>10</v>
      </c>
    </row>
    <row r="20" spans="1:16" x14ac:dyDescent="0.2">
      <c r="A20" s="21">
        <v>5</v>
      </c>
      <c r="B20" s="45" t="s">
        <v>373</v>
      </c>
      <c r="C20" s="35">
        <f t="shared" si="0"/>
        <v>42699</v>
      </c>
      <c r="D20" s="36">
        <v>2016</v>
      </c>
      <c r="E20" s="36">
        <v>330</v>
      </c>
      <c r="F20" s="37">
        <v>0.90486111111111101</v>
      </c>
      <c r="G20" s="38">
        <v>0</v>
      </c>
      <c r="H20" s="37">
        <v>0.33333333333333298</v>
      </c>
      <c r="I20" s="35">
        <f t="shared" si="1"/>
        <v>42700</v>
      </c>
      <c r="J20" s="36">
        <v>2016</v>
      </c>
      <c r="K20" s="36">
        <v>331</v>
      </c>
      <c r="L20" s="37">
        <v>0.23819444444444399</v>
      </c>
      <c r="M20" s="41">
        <v>3000</v>
      </c>
      <c r="N20" s="42">
        <v>86.4</v>
      </c>
      <c r="O20" s="43">
        <f>IF(MID(B20,6,7)="NO_DATA",50,IF(N20=0,50,IF(A20="", " ",754)))</f>
        <v>754</v>
      </c>
      <c r="P20" s="44">
        <f t="shared" si="2"/>
        <v>1</v>
      </c>
    </row>
    <row r="21" spans="1:16" x14ac:dyDescent="0.2">
      <c r="A21" s="21"/>
      <c r="B21" s="45" t="s">
        <v>45</v>
      </c>
      <c r="C21" s="35">
        <f t="shared" si="0"/>
        <v>42700</v>
      </c>
      <c r="D21" s="47">
        <f>J20</f>
        <v>2016</v>
      </c>
      <c r="E21" s="36">
        <f>K20</f>
        <v>331</v>
      </c>
      <c r="F21" s="37">
        <f>L20</f>
        <v>0.23819444444444399</v>
      </c>
      <c r="G21" s="38">
        <f>IF((L21-F21)&gt;0,K21-E21,IF((L21-F21)=0,0,K21-E21 -$F$401))</f>
        <v>0</v>
      </c>
      <c r="H21" s="37">
        <f>IF((L21-F21)&gt;0,L21-F21,IF((L21-F21)=0,0,$H$401+L21-F21))</f>
        <v>0.125</v>
      </c>
      <c r="I21" s="35">
        <f t="shared" si="1"/>
        <v>42700</v>
      </c>
      <c r="J21" s="47">
        <f>D22</f>
        <v>2016</v>
      </c>
      <c r="K21" s="36">
        <f>E22</f>
        <v>331</v>
      </c>
      <c r="L21" s="37">
        <f>F22</f>
        <v>0.36319444444444399</v>
      </c>
      <c r="M21" s="41"/>
      <c r="N21" s="42"/>
      <c r="O21" s="43">
        <f>IF(VALUE(LEFT($O22,3))&lt;192,50,IF(VALUE(LEFT($O22,3))&gt;597,50,VLOOKUP(VLOOKUP(VALUE(LEFT($O22,3)),'CIRS Table Info'!$B$6:$J$425,2,FALSE),'CIRS Table Info'!$B$428:$C$431,2,FALSE)))</f>
        <v>600</v>
      </c>
      <c r="P21" s="44">
        <f t="shared" si="2"/>
        <v>1</v>
      </c>
    </row>
    <row r="22" spans="1:16" x14ac:dyDescent="0.2">
      <c r="A22" s="21">
        <v>6</v>
      </c>
      <c r="B22" s="45" t="s">
        <v>374</v>
      </c>
      <c r="C22" s="35">
        <f t="shared" si="0"/>
        <v>42700</v>
      </c>
      <c r="D22" s="36">
        <v>2016</v>
      </c>
      <c r="E22" s="36">
        <v>331</v>
      </c>
      <c r="F22" s="37">
        <v>0.36319444444444399</v>
      </c>
      <c r="G22" s="38">
        <v>0</v>
      </c>
      <c r="H22" s="37">
        <v>0.47013888888888899</v>
      </c>
      <c r="I22" s="35">
        <f t="shared" si="1"/>
        <v>42700</v>
      </c>
      <c r="J22" s="36">
        <v>2016</v>
      </c>
      <c r="K22" s="36">
        <v>331</v>
      </c>
      <c r="L22" s="37">
        <v>0.83333333333333304</v>
      </c>
      <c r="M22" s="41">
        <v>4000</v>
      </c>
      <c r="N22" s="42">
        <v>162.47999999999999</v>
      </c>
      <c r="O22" s="512" t="s">
        <v>676</v>
      </c>
      <c r="P22" s="44">
        <f t="shared" si="2"/>
        <v>1</v>
      </c>
    </row>
    <row r="23" spans="1:16" x14ac:dyDescent="0.2">
      <c r="A23" s="21"/>
      <c r="B23" s="45" t="s">
        <v>46</v>
      </c>
      <c r="C23" s="35">
        <f t="shared" si="0"/>
        <v>42700</v>
      </c>
      <c r="D23" s="47">
        <f>J22</f>
        <v>2016</v>
      </c>
      <c r="E23" s="36">
        <f>K22</f>
        <v>331</v>
      </c>
      <c r="F23" s="37">
        <f>L22</f>
        <v>0.83333333333333304</v>
      </c>
      <c r="G23" s="38">
        <f>IF((L23-F23)&gt;0,K23-E23,IF((L23-F23)=0,0,K23-E23 -$F$401))</f>
        <v>0</v>
      </c>
      <c r="H23" s="37">
        <f>IF((L23-F23)&gt;0,L23-F23,IF((L23-F23)=0,0,$H$401+L23-F23))</f>
        <v>0</v>
      </c>
      <c r="I23" s="35">
        <f t="shared" si="1"/>
        <v>42700</v>
      </c>
      <c r="J23" s="47">
        <f>D24</f>
        <v>2016</v>
      </c>
      <c r="K23" s="36">
        <f>E24</f>
        <v>331</v>
      </c>
      <c r="L23" s="37">
        <f>F24</f>
        <v>0.83333333333333304</v>
      </c>
      <c r="M23" s="41"/>
      <c r="N23" s="42"/>
      <c r="O23" s="43">
        <f>IF(VALUE(LEFT($O24,3))&lt;192,50,IF(VALUE(LEFT($O24,3))&gt;597,50,VLOOKUP(VLOOKUP(VALUE(LEFT($O24,3)),'CIRS Table Info'!$B$6:$J$425,2,FALSE),'CIRS Table Info'!$B$428:$C$431,2,FALSE)))</f>
        <v>600</v>
      </c>
      <c r="P23" s="44">
        <f t="shared" si="2"/>
        <v>1</v>
      </c>
    </row>
    <row r="24" spans="1:16" x14ac:dyDescent="0.2">
      <c r="A24" s="21">
        <v>7</v>
      </c>
      <c r="B24" s="45" t="s">
        <v>378</v>
      </c>
      <c r="C24" s="35">
        <f t="shared" si="0"/>
        <v>42700</v>
      </c>
      <c r="D24" s="36">
        <v>2016</v>
      </c>
      <c r="E24" s="36">
        <v>331</v>
      </c>
      <c r="F24" s="37">
        <v>0.83333333333333304</v>
      </c>
      <c r="G24" s="38">
        <v>0</v>
      </c>
      <c r="H24" s="37">
        <v>0.104166666666667</v>
      </c>
      <c r="I24" s="35">
        <f t="shared" si="1"/>
        <v>42700</v>
      </c>
      <c r="J24" s="36">
        <v>2016</v>
      </c>
      <c r="K24" s="36">
        <v>331</v>
      </c>
      <c r="L24" s="37">
        <v>0.9375</v>
      </c>
      <c r="M24" s="41">
        <v>4000</v>
      </c>
      <c r="N24" s="42">
        <v>36</v>
      </c>
      <c r="O24" s="43">
        <v>405</v>
      </c>
      <c r="P24" s="44">
        <v>2</v>
      </c>
    </row>
    <row r="25" spans="1:16" x14ac:dyDescent="0.2">
      <c r="A25" s="21"/>
      <c r="B25" s="45" t="s">
        <v>47</v>
      </c>
      <c r="C25" s="35">
        <f t="shared" si="0"/>
        <v>42700</v>
      </c>
      <c r="D25" s="47">
        <f>J24</f>
        <v>2016</v>
      </c>
      <c r="E25" s="36">
        <f>K24</f>
        <v>331</v>
      </c>
      <c r="F25" s="37">
        <f>L24</f>
        <v>0.9375</v>
      </c>
      <c r="G25" s="38">
        <f>IF((L25-F25)&gt;0,K25-E25,IF((L25-F25)=0,0,K25-E25 -$F$401))</f>
        <v>0</v>
      </c>
      <c r="H25" s="37">
        <f>IF((L25-F25)&gt;0,L25-F25,IF((L25-F25)=0,0,$H$401+L25-F25))</f>
        <v>0</v>
      </c>
      <c r="I25" s="35">
        <f t="shared" si="1"/>
        <v>42700</v>
      </c>
      <c r="J25" s="47">
        <f>D26</f>
        <v>2016</v>
      </c>
      <c r="K25" s="36">
        <f>E26</f>
        <v>331</v>
      </c>
      <c r="L25" s="37">
        <f>F26</f>
        <v>0.9375</v>
      </c>
      <c r="M25" s="41"/>
      <c r="N25" s="42"/>
      <c r="O25" s="43">
        <f>IF(VALUE(LEFT($O26,3))&lt;192,50,IF(VALUE(LEFT($O26,3))&gt;597,50,VLOOKUP(VLOOKUP(VALUE(LEFT($O26,3)),'CIRS Table Info'!$B$6:$J$425,2,FALSE),'CIRS Table Info'!$B$428:$C$431,2,FALSE)))</f>
        <v>600</v>
      </c>
      <c r="P25" s="44">
        <f>IF(O25=50,10,1)</f>
        <v>1</v>
      </c>
    </row>
    <row r="26" spans="1:16" x14ac:dyDescent="0.2">
      <c r="A26" s="21">
        <v>8</v>
      </c>
      <c r="B26" s="45" t="s">
        <v>379</v>
      </c>
      <c r="C26" s="35">
        <f t="shared" si="0"/>
        <v>42700</v>
      </c>
      <c r="D26" s="36">
        <v>2016</v>
      </c>
      <c r="E26" s="36">
        <v>331</v>
      </c>
      <c r="F26" s="37">
        <v>0.9375</v>
      </c>
      <c r="G26" s="38">
        <v>0</v>
      </c>
      <c r="H26" s="37">
        <v>0.104166666666667</v>
      </c>
      <c r="I26" s="35">
        <f t="shared" si="1"/>
        <v>42701</v>
      </c>
      <c r="J26" s="36">
        <v>2016</v>
      </c>
      <c r="K26" s="36">
        <v>332</v>
      </c>
      <c r="L26" s="37">
        <v>4.1666666666666699E-2</v>
      </c>
      <c r="M26" s="41">
        <v>4000</v>
      </c>
      <c r="N26" s="42">
        <v>36</v>
      </c>
      <c r="O26" s="43">
        <v>405</v>
      </c>
      <c r="P26" s="44">
        <v>2</v>
      </c>
    </row>
    <row r="27" spans="1:16" x14ac:dyDescent="0.2">
      <c r="A27" s="21"/>
      <c r="B27" s="45" t="s">
        <v>48</v>
      </c>
      <c r="C27" s="35">
        <f t="shared" si="0"/>
        <v>42701</v>
      </c>
      <c r="D27" s="47">
        <f>J26</f>
        <v>2016</v>
      </c>
      <c r="E27" s="36">
        <f>K26</f>
        <v>332</v>
      </c>
      <c r="F27" s="37">
        <f>L26</f>
        <v>4.1666666666666699E-2</v>
      </c>
      <c r="G27" s="38">
        <f>IF((L27-F27)&gt;0,K27-E27,IF((L27-F27)=0,0,K27-E27 -$F$401))</f>
        <v>0</v>
      </c>
      <c r="H27" s="37">
        <f>IF((L27-F27)&gt;0,L27-F27,IF((L27-F27)=0,0,$H$401+L27-F27))</f>
        <v>0</v>
      </c>
      <c r="I27" s="35">
        <f t="shared" si="1"/>
        <v>42701</v>
      </c>
      <c r="J27" s="47">
        <f>D28</f>
        <v>2016</v>
      </c>
      <c r="K27" s="36">
        <f>E28</f>
        <v>332</v>
      </c>
      <c r="L27" s="37">
        <f>F28</f>
        <v>4.1666666666666699E-2</v>
      </c>
      <c r="M27" s="41"/>
      <c r="N27" s="42"/>
      <c r="O27" s="43">
        <f>IF(VALUE(LEFT($O28,3))&lt;192,50,IF(VALUE(LEFT($O28,3))&gt;597,50,VLOOKUP(VLOOKUP(VALUE(LEFT($O28,3)),'CIRS Table Info'!$B$6:$J$425,2,FALSE),'CIRS Table Info'!$B$428:$C$431,2,FALSE)))</f>
        <v>50</v>
      </c>
      <c r="P27" s="44">
        <f t="shared" ref="P27:P65" si="3">IF(O27=50,10,1)</f>
        <v>10</v>
      </c>
    </row>
    <row r="28" spans="1:16" x14ac:dyDescent="0.2">
      <c r="A28" s="21">
        <v>9</v>
      </c>
      <c r="B28" s="45" t="s">
        <v>380</v>
      </c>
      <c r="C28" s="35">
        <f t="shared" si="0"/>
        <v>42701</v>
      </c>
      <c r="D28" s="36">
        <v>2016</v>
      </c>
      <c r="E28" s="36">
        <v>332</v>
      </c>
      <c r="F28" s="37">
        <v>4.1666666666666699E-2</v>
      </c>
      <c r="G28" s="38">
        <v>0</v>
      </c>
      <c r="H28" s="37">
        <v>8.3333333333333301E-2</v>
      </c>
      <c r="I28" s="35">
        <f t="shared" si="1"/>
        <v>42701</v>
      </c>
      <c r="J28" s="36">
        <v>2016</v>
      </c>
      <c r="K28" s="36">
        <v>332</v>
      </c>
      <c r="L28" s="37">
        <v>0.125</v>
      </c>
      <c r="M28" s="41">
        <v>2200</v>
      </c>
      <c r="N28" s="42">
        <v>15.84</v>
      </c>
      <c r="O28" s="43">
        <f>IF(MID(B28,6,7)="NO_DATA",50,IF(N28=0,50,IF(A28="", " ",758)))</f>
        <v>758</v>
      </c>
      <c r="P28" s="44">
        <f t="shared" si="3"/>
        <v>1</v>
      </c>
    </row>
    <row r="29" spans="1:16" x14ac:dyDescent="0.2">
      <c r="A29" s="21"/>
      <c r="B29" s="45" t="s">
        <v>49</v>
      </c>
      <c r="C29" s="35">
        <f t="shared" si="0"/>
        <v>42701</v>
      </c>
      <c r="D29" s="47">
        <f>J28</f>
        <v>2016</v>
      </c>
      <c r="E29" s="36">
        <f>K28</f>
        <v>332</v>
      </c>
      <c r="F29" s="37">
        <f>L28</f>
        <v>0.125</v>
      </c>
      <c r="G29" s="38">
        <f>IF((L29-F29)&gt;0,K29-E29,IF((L29-F29)=0,0,K29-E29 -$F$401))</f>
        <v>0</v>
      </c>
      <c r="H29" s="37">
        <f>IF((L29-F29)&gt;0,L29-F29,IF((L29-F29)=0,0,$H$401+L29-F29))</f>
        <v>0.10347222222222199</v>
      </c>
      <c r="I29" s="35">
        <f t="shared" si="1"/>
        <v>42701</v>
      </c>
      <c r="J29" s="47">
        <f>D30</f>
        <v>2016</v>
      </c>
      <c r="K29" s="36">
        <f>E30</f>
        <v>332</v>
      </c>
      <c r="L29" s="37">
        <f>F30</f>
        <v>0.22847222222222199</v>
      </c>
      <c r="M29" s="41"/>
      <c r="N29" s="42"/>
      <c r="O29" s="43">
        <f>IF(VALUE(LEFT($O30,3))&lt;192,50,IF(VALUE(LEFT($O30,3))&gt;597,50,VLOOKUP(VLOOKUP(VALUE(LEFT($O30,3)),'CIRS Table Info'!$B$6:$J$425,2,FALSE),'CIRS Table Info'!$B$428:$C$431,2,FALSE)))</f>
        <v>50</v>
      </c>
      <c r="P29" s="44">
        <f t="shared" si="3"/>
        <v>10</v>
      </c>
    </row>
    <row r="30" spans="1:16" x14ac:dyDescent="0.2">
      <c r="A30" s="21">
        <v>10</v>
      </c>
      <c r="B30" s="45" t="s">
        <v>384</v>
      </c>
      <c r="C30" s="35">
        <f t="shared" si="0"/>
        <v>42701</v>
      </c>
      <c r="D30" s="36">
        <v>2016</v>
      </c>
      <c r="E30" s="36">
        <v>332</v>
      </c>
      <c r="F30" s="37">
        <v>0.22847222222222199</v>
      </c>
      <c r="G30" s="38">
        <v>0</v>
      </c>
      <c r="H30" s="37">
        <v>7.3611111111111099E-2</v>
      </c>
      <c r="I30" s="35">
        <f t="shared" si="1"/>
        <v>42701</v>
      </c>
      <c r="J30" s="36">
        <v>2016</v>
      </c>
      <c r="K30" s="36">
        <v>332</v>
      </c>
      <c r="L30" s="37">
        <v>0.30208333333333298</v>
      </c>
      <c r="M30" s="41">
        <v>4000</v>
      </c>
      <c r="N30" s="42">
        <v>25.44</v>
      </c>
      <c r="O30" s="43">
        <f>IF(MID(B30,6,7)="NO_DATA",50,IF(N30=0,50,IF(A30="", " ",759)))</f>
        <v>759</v>
      </c>
      <c r="P30" s="44">
        <f t="shared" si="3"/>
        <v>1</v>
      </c>
    </row>
    <row r="31" spans="1:16" x14ac:dyDescent="0.2">
      <c r="A31" s="21"/>
      <c r="B31" s="45" t="s">
        <v>50</v>
      </c>
      <c r="C31" s="35">
        <f t="shared" si="0"/>
        <v>42701</v>
      </c>
      <c r="D31" s="47">
        <f>J30</f>
        <v>2016</v>
      </c>
      <c r="E31" s="36">
        <f>K30</f>
        <v>332</v>
      </c>
      <c r="F31" s="37">
        <f>L30</f>
        <v>0.30208333333333298</v>
      </c>
      <c r="G31" s="38">
        <f>IF((L31-F31)&gt;0,K31-E31,IF((L31-F31)=0,0,K31-E31 -$F$401))</f>
        <v>0</v>
      </c>
      <c r="H31" s="37">
        <f>IF((L31-F31)&gt;0,L31-F31,IF((L31-F31)=0,0,$H$401+L31-F31))</f>
        <v>0</v>
      </c>
      <c r="I31" s="35">
        <f t="shared" si="1"/>
        <v>42701</v>
      </c>
      <c r="J31" s="47">
        <f>D32</f>
        <v>2016</v>
      </c>
      <c r="K31" s="36">
        <f>E32</f>
        <v>332</v>
      </c>
      <c r="L31" s="37">
        <f>F32</f>
        <v>0.30208333333333298</v>
      </c>
      <c r="M31" s="41"/>
      <c r="N31" s="42"/>
      <c r="O31" s="43">
        <f>IF(VALUE(LEFT($O32,3))&lt;192,50,IF(VALUE(LEFT($O32,3))&gt;597,50,VLOOKUP(VLOOKUP(VALUE(LEFT($O32,3)),'CIRS Table Info'!$B$6:$J$425,2,FALSE),'CIRS Table Info'!$B$428:$C$431,2,FALSE)))</f>
        <v>50</v>
      </c>
      <c r="P31" s="44">
        <f t="shared" si="3"/>
        <v>10</v>
      </c>
    </row>
    <row r="32" spans="1:16" x14ac:dyDescent="0.2">
      <c r="A32" s="21">
        <v>11</v>
      </c>
      <c r="B32" s="45" t="s">
        <v>386</v>
      </c>
      <c r="C32" s="35">
        <f t="shared" si="0"/>
        <v>42701</v>
      </c>
      <c r="D32" s="36">
        <v>2016</v>
      </c>
      <c r="E32" s="36">
        <v>332</v>
      </c>
      <c r="F32" s="37">
        <v>0.30208333333333298</v>
      </c>
      <c r="G32" s="38">
        <v>0</v>
      </c>
      <c r="H32" s="37">
        <v>0.11111111111111099</v>
      </c>
      <c r="I32" s="35">
        <f t="shared" si="1"/>
        <v>42701</v>
      </c>
      <c r="J32" s="36">
        <v>2016</v>
      </c>
      <c r="K32" s="36">
        <v>332</v>
      </c>
      <c r="L32" s="37">
        <v>0.41319444444444398</v>
      </c>
      <c r="M32" s="41">
        <v>4000</v>
      </c>
      <c r="N32" s="42">
        <v>38.4</v>
      </c>
      <c r="O32" s="43">
        <f>IF(MID(B32,6,7)="NO_DATA",50,IF(N32=0,50,IF(A32="", " ",760)))</f>
        <v>760</v>
      </c>
      <c r="P32" s="44">
        <f t="shared" si="3"/>
        <v>1</v>
      </c>
    </row>
    <row r="33" spans="1:16" x14ac:dyDescent="0.2">
      <c r="A33" s="21"/>
      <c r="B33" s="45" t="s">
        <v>51</v>
      </c>
      <c r="C33" s="35">
        <f t="shared" si="0"/>
        <v>42701</v>
      </c>
      <c r="D33" s="47">
        <f>J32</f>
        <v>2016</v>
      </c>
      <c r="E33" s="36">
        <f>K32</f>
        <v>332</v>
      </c>
      <c r="F33" s="37">
        <f>L32</f>
        <v>0.41319444444444398</v>
      </c>
      <c r="G33" s="38">
        <f>IF((L33-F33)&gt;0,K33-E33,IF((L33-F33)=0,0,K33-E33 -$F$401))</f>
        <v>0</v>
      </c>
      <c r="H33" s="37">
        <f>IF((L33-F33)&gt;0,L33-F33,IF((L33-F33)=0,0,$H$401+L33-F33))</f>
        <v>5.5555555555556024E-2</v>
      </c>
      <c r="I33" s="35">
        <f t="shared" si="1"/>
        <v>42701</v>
      </c>
      <c r="J33" s="47">
        <f>D34</f>
        <v>2016</v>
      </c>
      <c r="K33" s="36">
        <f>E34</f>
        <v>332</v>
      </c>
      <c r="L33" s="37">
        <f>F34</f>
        <v>0.46875</v>
      </c>
      <c r="M33" s="43"/>
      <c r="N33" s="43"/>
      <c r="O33" s="43">
        <f>IF(VALUE(LEFT($O34,3))&lt;192,50,IF(VALUE(LEFT($O34,3))&gt;597,50,VLOOKUP(VLOOKUP(VALUE(LEFT($O34,3)),'CIRS Table Info'!$B$6:$J$425,2,FALSE),'CIRS Table Info'!$B$428:$C$431,2,FALSE)))</f>
        <v>50</v>
      </c>
      <c r="P33" s="44">
        <f t="shared" si="3"/>
        <v>10</v>
      </c>
    </row>
    <row r="34" spans="1:16" x14ac:dyDescent="0.2">
      <c r="A34" s="21">
        <v>12</v>
      </c>
      <c r="B34" s="45" t="s">
        <v>389</v>
      </c>
      <c r="C34" s="35">
        <f t="shared" si="0"/>
        <v>42701</v>
      </c>
      <c r="D34" s="36">
        <v>2016</v>
      </c>
      <c r="E34" s="36">
        <v>332</v>
      </c>
      <c r="F34" s="37">
        <v>0.46875</v>
      </c>
      <c r="G34" s="38">
        <v>0</v>
      </c>
      <c r="H34" s="37">
        <v>0.69791666666666696</v>
      </c>
      <c r="I34" s="35">
        <f t="shared" si="1"/>
        <v>42702</v>
      </c>
      <c r="J34" s="36">
        <v>2016</v>
      </c>
      <c r="K34" s="36">
        <v>333</v>
      </c>
      <c r="L34" s="37">
        <v>0.16666666666666699</v>
      </c>
      <c r="M34" s="41">
        <v>3000</v>
      </c>
      <c r="N34" s="42">
        <v>180.9</v>
      </c>
      <c r="O34" s="43">
        <f>IF(MID(B34,6,7)="NO_DATA",50,IF(N34=0,50,IF(A34="", " ",761)))</f>
        <v>761</v>
      </c>
      <c r="P34" s="44">
        <f t="shared" si="3"/>
        <v>1</v>
      </c>
    </row>
    <row r="35" spans="1:16" x14ac:dyDescent="0.2">
      <c r="A35" s="21"/>
      <c r="B35" s="45" t="s">
        <v>52</v>
      </c>
      <c r="C35" s="35">
        <f t="shared" si="0"/>
        <v>42702</v>
      </c>
      <c r="D35" s="47">
        <f>J34</f>
        <v>2016</v>
      </c>
      <c r="E35" s="36">
        <f>K34</f>
        <v>333</v>
      </c>
      <c r="F35" s="37">
        <f>L34</f>
        <v>0.16666666666666699</v>
      </c>
      <c r="G35" s="38">
        <f>IF((L35-F35)&gt;0,K35-E35,IF((L35-F35)=0,0,K35-E35 -$F$401))</f>
        <v>0</v>
      </c>
      <c r="H35" s="37">
        <f>IF((L35-F35)&gt;0,L35-F35,IF((L35-F35)=0,0,$H$401+L35-F35))</f>
        <v>0.76944444444444404</v>
      </c>
      <c r="I35" s="35">
        <f t="shared" si="1"/>
        <v>42702</v>
      </c>
      <c r="J35" s="47">
        <f>D36</f>
        <v>2016</v>
      </c>
      <c r="K35" s="36">
        <f>E36</f>
        <v>333</v>
      </c>
      <c r="L35" s="37">
        <f>F36</f>
        <v>0.93611111111111101</v>
      </c>
      <c r="M35" s="43"/>
      <c r="N35" s="43"/>
      <c r="O35" s="43">
        <f>IF(VALUE(LEFT($O36,3))&lt;192,50,IF(VALUE(LEFT($O36,3))&gt;597,50,VLOOKUP(VLOOKUP(VALUE(LEFT($O36,3)),'CIRS Table Info'!$B$6:$J$425,2,FALSE),'CIRS Table Info'!$B$428:$C$431,2,FALSE)))</f>
        <v>50</v>
      </c>
      <c r="P35" s="44">
        <f t="shared" si="3"/>
        <v>10</v>
      </c>
    </row>
    <row r="36" spans="1:16" x14ac:dyDescent="0.2">
      <c r="A36" s="21">
        <v>13</v>
      </c>
      <c r="B36" s="45" t="s">
        <v>390</v>
      </c>
      <c r="C36" s="35">
        <f t="shared" si="0"/>
        <v>42702</v>
      </c>
      <c r="D36" s="36">
        <v>2016</v>
      </c>
      <c r="E36" s="36">
        <v>333</v>
      </c>
      <c r="F36" s="37">
        <v>0.93611111111111101</v>
      </c>
      <c r="G36" s="38">
        <v>0</v>
      </c>
      <c r="H36" s="37">
        <v>0.29166666666666702</v>
      </c>
      <c r="I36" s="35">
        <f t="shared" si="1"/>
        <v>42703</v>
      </c>
      <c r="J36" s="36">
        <v>2016</v>
      </c>
      <c r="K36" s="36">
        <v>334</v>
      </c>
      <c r="L36" s="37">
        <v>0.227777777777778</v>
      </c>
      <c r="M36" s="41">
        <v>1716</v>
      </c>
      <c r="N36" s="42">
        <v>43.243000000000002</v>
      </c>
      <c r="O36" s="43">
        <f>IF(MID(B36,6,7)="NO_DATA",50,IF(N36=0,50,IF(A36="", " ",762)))</f>
        <v>762</v>
      </c>
      <c r="P36" s="44">
        <f t="shared" si="3"/>
        <v>1</v>
      </c>
    </row>
    <row r="37" spans="1:16" x14ac:dyDescent="0.2">
      <c r="A37" s="21"/>
      <c r="B37" s="45" t="s">
        <v>53</v>
      </c>
      <c r="C37" s="35">
        <f t="shared" si="0"/>
        <v>42703</v>
      </c>
      <c r="D37" s="47">
        <f>J36</f>
        <v>2016</v>
      </c>
      <c r="E37" s="36">
        <f>K36</f>
        <v>334</v>
      </c>
      <c r="F37" s="37">
        <f>L36</f>
        <v>0.227777777777778</v>
      </c>
      <c r="G37" s="38">
        <f>IF((L37-F37)&gt;0,K37-E37,IF((L37-F37)=0,0,K37-E37 -$F$401))</f>
        <v>0</v>
      </c>
      <c r="H37" s="37">
        <f>IF((L37-F37)&gt;0,L37-F37,IF((L37-F37)=0,0,$H$401+L37-F37))</f>
        <v>3.4166666666665985E-2</v>
      </c>
      <c r="I37" s="35">
        <f t="shared" si="1"/>
        <v>42703</v>
      </c>
      <c r="J37" s="47">
        <f>D38</f>
        <v>2016</v>
      </c>
      <c r="K37" s="36">
        <f>E38</f>
        <v>334</v>
      </c>
      <c r="L37" s="37">
        <f>F38</f>
        <v>0.26194444444444398</v>
      </c>
      <c r="M37" s="43"/>
      <c r="N37" s="43"/>
      <c r="O37" s="43">
        <f>IF(VALUE(LEFT($O38,3))&lt;192,50,IF(VALUE(LEFT($O38,3))&gt;597,50,VLOOKUP(VLOOKUP(VALUE(LEFT($O38,3)),'CIRS Table Info'!$B$6:$J$425,2,FALSE),'CIRS Table Info'!$B$428:$C$431,2,FALSE)))</f>
        <v>602</v>
      </c>
      <c r="P37" s="44">
        <f t="shared" si="3"/>
        <v>1</v>
      </c>
    </row>
    <row r="38" spans="1:16" x14ac:dyDescent="0.2">
      <c r="A38" s="21">
        <v>14</v>
      </c>
      <c r="B38" s="45" t="s">
        <v>391</v>
      </c>
      <c r="C38" s="35">
        <f t="shared" si="0"/>
        <v>42703</v>
      </c>
      <c r="D38" s="36">
        <v>2016</v>
      </c>
      <c r="E38" s="36">
        <v>334</v>
      </c>
      <c r="F38" s="37">
        <v>0.26194444444444398</v>
      </c>
      <c r="G38" s="38">
        <v>0</v>
      </c>
      <c r="H38" s="37">
        <v>8.1481481481481502E-2</v>
      </c>
      <c r="I38" s="35">
        <f t="shared" si="1"/>
        <v>42703</v>
      </c>
      <c r="J38" s="36">
        <v>2016</v>
      </c>
      <c r="K38" s="36">
        <v>334</v>
      </c>
      <c r="L38" s="37">
        <v>0.34342592592592602</v>
      </c>
      <c r="M38" s="41">
        <v>1900</v>
      </c>
      <c r="N38" s="42">
        <v>13.375999999999999</v>
      </c>
      <c r="O38" s="43">
        <v>473</v>
      </c>
      <c r="P38" s="44">
        <f t="shared" si="3"/>
        <v>1</v>
      </c>
    </row>
    <row r="39" spans="1:16" x14ac:dyDescent="0.2">
      <c r="A39" s="21"/>
      <c r="B39" s="45" t="s">
        <v>54</v>
      </c>
      <c r="C39" s="35">
        <f t="shared" si="0"/>
        <v>42703</v>
      </c>
      <c r="D39" s="47">
        <f>J38</f>
        <v>2016</v>
      </c>
      <c r="E39" s="36">
        <f>K38</f>
        <v>334</v>
      </c>
      <c r="F39" s="37">
        <f>L38</f>
        <v>0.34342592592592602</v>
      </c>
      <c r="G39" s="38">
        <f>IF((L39-F39)&gt;0,K39-E39,IF((L39-F39)=0,0,K39-E39 -$F$401))</f>
        <v>0</v>
      </c>
      <c r="H39" s="37">
        <f>IF((L39-F39)&gt;0,L39-F39,IF((L39-F39)=0,0,$H$401+L39-F39))</f>
        <v>0</v>
      </c>
      <c r="I39" s="35">
        <f t="shared" si="1"/>
        <v>42703</v>
      </c>
      <c r="J39" s="47">
        <f>D40</f>
        <v>2016</v>
      </c>
      <c r="K39" s="36">
        <f>E40</f>
        <v>334</v>
      </c>
      <c r="L39" s="37">
        <f>F40</f>
        <v>0.34342592592592602</v>
      </c>
      <c r="M39" s="43"/>
      <c r="N39" s="43"/>
      <c r="O39" s="43">
        <f>IF(VALUE(LEFT($O40,3))&lt;192,50,IF(VALUE(LEFT($O40,3))&gt;597,50,VLOOKUP(VLOOKUP(VALUE(LEFT($O40,3)),'CIRS Table Info'!$B$6:$J$425,2,FALSE),'CIRS Table Info'!$B$428:$C$431,2,FALSE)))</f>
        <v>602</v>
      </c>
      <c r="P39" s="44">
        <f t="shared" si="3"/>
        <v>1</v>
      </c>
    </row>
    <row r="40" spans="1:16" x14ac:dyDescent="0.2">
      <c r="A40" s="21">
        <v>15</v>
      </c>
      <c r="B40" s="45" t="s">
        <v>392</v>
      </c>
      <c r="C40" s="35">
        <f t="shared" si="0"/>
        <v>42703</v>
      </c>
      <c r="D40" s="36">
        <v>2016</v>
      </c>
      <c r="E40" s="36">
        <v>334</v>
      </c>
      <c r="F40" s="37">
        <v>0.34342592592592602</v>
      </c>
      <c r="G40" s="38">
        <v>0</v>
      </c>
      <c r="H40" s="37">
        <v>0.20833333333333301</v>
      </c>
      <c r="I40" s="35">
        <f t="shared" si="1"/>
        <v>42703</v>
      </c>
      <c r="J40" s="36">
        <v>2016</v>
      </c>
      <c r="K40" s="36">
        <v>334</v>
      </c>
      <c r="L40" s="37">
        <v>0.55175925925925895</v>
      </c>
      <c r="M40" s="41">
        <v>1900</v>
      </c>
      <c r="N40" s="42">
        <v>34.200000000000003</v>
      </c>
      <c r="O40" s="43">
        <v>473</v>
      </c>
      <c r="P40" s="44">
        <f t="shared" si="3"/>
        <v>1</v>
      </c>
    </row>
    <row r="41" spans="1:16" x14ac:dyDescent="0.2">
      <c r="A41" s="21"/>
      <c r="B41" s="45" t="s">
        <v>55</v>
      </c>
      <c r="C41" s="35">
        <f t="shared" si="0"/>
        <v>42703</v>
      </c>
      <c r="D41" s="47">
        <f>J40</f>
        <v>2016</v>
      </c>
      <c r="E41" s="36">
        <f>K40</f>
        <v>334</v>
      </c>
      <c r="F41" s="37">
        <f>L40</f>
        <v>0.55175925925925895</v>
      </c>
      <c r="G41" s="38">
        <f>IF((L41-F41)&gt;0,K41-E41,IF((L41-F41)=0,0,K41-E41 -$F$401))</f>
        <v>0</v>
      </c>
      <c r="H41" s="37">
        <f>IF((L41-F41)&gt;0,L41-F41,IF((L41-F41)=0,0,$H$401+L41-F41))</f>
        <v>0</v>
      </c>
      <c r="I41" s="35">
        <f t="shared" si="1"/>
        <v>42703</v>
      </c>
      <c r="J41" s="47">
        <f>D42</f>
        <v>2016</v>
      </c>
      <c r="K41" s="36">
        <f>E42</f>
        <v>334</v>
      </c>
      <c r="L41" s="37">
        <f>F42</f>
        <v>0.55175925925925895</v>
      </c>
      <c r="M41" s="43"/>
      <c r="N41" s="43"/>
      <c r="O41" s="43">
        <f>IF(VALUE(LEFT($O42,3))&lt;192,50,IF(VALUE(LEFT($O42,3))&gt;597,50,VLOOKUP(VLOOKUP(VALUE(LEFT($O42,3)),'CIRS Table Info'!$B$6:$J$425,2,FALSE),'CIRS Table Info'!$B$428:$C$431,2,FALSE)))</f>
        <v>602</v>
      </c>
      <c r="P41" s="44">
        <f t="shared" si="3"/>
        <v>1</v>
      </c>
    </row>
    <row r="42" spans="1:16" x14ac:dyDescent="0.2">
      <c r="A42" s="21">
        <v>16</v>
      </c>
      <c r="B42" s="45" t="s">
        <v>393</v>
      </c>
      <c r="C42" s="35">
        <f t="shared" si="0"/>
        <v>42703</v>
      </c>
      <c r="D42" s="36">
        <v>2016</v>
      </c>
      <c r="E42" s="36">
        <v>334</v>
      </c>
      <c r="F42" s="37">
        <v>0.55175925925925895</v>
      </c>
      <c r="G42" s="38">
        <v>0</v>
      </c>
      <c r="H42" s="37">
        <v>0.16666666666666699</v>
      </c>
      <c r="I42" s="35">
        <f t="shared" si="1"/>
        <v>42703</v>
      </c>
      <c r="J42" s="36">
        <v>2016</v>
      </c>
      <c r="K42" s="36">
        <v>334</v>
      </c>
      <c r="L42" s="37">
        <v>0.71842592592592602</v>
      </c>
      <c r="M42" s="41">
        <v>1900</v>
      </c>
      <c r="N42" s="42">
        <v>27.36</v>
      </c>
      <c r="O42" s="43">
        <v>473</v>
      </c>
      <c r="P42" s="44">
        <f t="shared" si="3"/>
        <v>1</v>
      </c>
    </row>
    <row r="43" spans="1:16" x14ac:dyDescent="0.2">
      <c r="A43" s="21"/>
      <c r="B43" s="45" t="s">
        <v>56</v>
      </c>
      <c r="C43" s="35">
        <f t="shared" si="0"/>
        <v>42703</v>
      </c>
      <c r="D43" s="47">
        <f>J42</f>
        <v>2016</v>
      </c>
      <c r="E43" s="36">
        <f>K42</f>
        <v>334</v>
      </c>
      <c r="F43" s="37">
        <f>L42</f>
        <v>0.71842592592592602</v>
      </c>
      <c r="G43" s="38">
        <f>IF((L43-F43)&gt;0,K43-E43,IF((L43-F43)=0,0,K43-E43 -$F$401))</f>
        <v>0</v>
      </c>
      <c r="H43" s="37">
        <f>IF((L43-F43)&gt;0,L43-F43,IF((L43-F43)=0,0,$H$401+L43-F43))</f>
        <v>0</v>
      </c>
      <c r="I43" s="35">
        <f t="shared" si="1"/>
        <v>42703</v>
      </c>
      <c r="J43" s="47">
        <f>D44</f>
        <v>2016</v>
      </c>
      <c r="K43" s="36">
        <f>E44</f>
        <v>334</v>
      </c>
      <c r="L43" s="37">
        <f>F44</f>
        <v>0.71842592592592602</v>
      </c>
      <c r="M43" s="43"/>
      <c r="N43" s="43"/>
      <c r="O43" s="43">
        <f>IF(VALUE(LEFT($O44,3))&lt;192,50,IF(VALUE(LEFT($O44,3))&gt;597,50,VLOOKUP(VLOOKUP(VALUE(LEFT($O44,3)),'CIRS Table Info'!$B$6:$J$425,2,FALSE),'CIRS Table Info'!$B$428:$C$431,2,FALSE)))</f>
        <v>602</v>
      </c>
      <c r="P43" s="44">
        <f t="shared" si="3"/>
        <v>1</v>
      </c>
    </row>
    <row r="44" spans="1:16" x14ac:dyDescent="0.2">
      <c r="A44" s="21">
        <v>17</v>
      </c>
      <c r="B44" s="45" t="s">
        <v>394</v>
      </c>
      <c r="C44" s="35">
        <f t="shared" si="0"/>
        <v>42703</v>
      </c>
      <c r="D44" s="36">
        <v>2016</v>
      </c>
      <c r="E44" s="36">
        <v>334</v>
      </c>
      <c r="F44" s="37">
        <v>0.71842592592592602</v>
      </c>
      <c r="G44" s="38">
        <v>0</v>
      </c>
      <c r="H44" s="37">
        <v>0.114583333333333</v>
      </c>
      <c r="I44" s="35">
        <f t="shared" si="1"/>
        <v>42703</v>
      </c>
      <c r="J44" s="36">
        <v>2016</v>
      </c>
      <c r="K44" s="36">
        <v>334</v>
      </c>
      <c r="L44" s="37">
        <v>0.83300925925925895</v>
      </c>
      <c r="M44" s="41">
        <v>1900</v>
      </c>
      <c r="N44" s="42">
        <v>18.809999999999999</v>
      </c>
      <c r="O44" s="43">
        <v>245</v>
      </c>
      <c r="P44" s="44">
        <f t="shared" si="3"/>
        <v>1</v>
      </c>
    </row>
    <row r="45" spans="1:16" x14ac:dyDescent="0.2">
      <c r="A45" s="21"/>
      <c r="B45" s="45" t="s">
        <v>57</v>
      </c>
      <c r="C45" s="35">
        <f t="shared" si="0"/>
        <v>42703</v>
      </c>
      <c r="D45" s="47">
        <f>J44</f>
        <v>2016</v>
      </c>
      <c r="E45" s="36">
        <f>K44</f>
        <v>334</v>
      </c>
      <c r="F45" s="37">
        <f>L44</f>
        <v>0.83300925925925895</v>
      </c>
      <c r="G45" s="38">
        <f>IF((L45-F45)&gt;0,K45-E45,IF((L45-F45)=0,0,K45-E45 -$F$401))</f>
        <v>0</v>
      </c>
      <c r="H45" s="37">
        <f>IF((L45-F45)&gt;0,L45-F45,IF((L45-F45)=0,0,$H$401+L45-F45))</f>
        <v>0</v>
      </c>
      <c r="I45" s="35">
        <f t="shared" si="1"/>
        <v>42703</v>
      </c>
      <c r="J45" s="47">
        <f>D46</f>
        <v>2016</v>
      </c>
      <c r="K45" s="36">
        <f>E46</f>
        <v>334</v>
      </c>
      <c r="L45" s="37">
        <f>F46</f>
        <v>0.83300925925925895</v>
      </c>
      <c r="M45" s="43"/>
      <c r="N45" s="43"/>
      <c r="O45" s="43">
        <f>IF(VALUE(LEFT($O46,3))&lt;192,50,IF(VALUE(LEFT($O46,3))&gt;597,50,VLOOKUP(VLOOKUP(VALUE(LEFT($O46,3)),'CIRS Table Info'!$B$6:$J$425,2,FALSE),'CIRS Table Info'!$B$428:$C$431,2,FALSE)))</f>
        <v>602</v>
      </c>
      <c r="P45" s="44">
        <f t="shared" si="3"/>
        <v>1</v>
      </c>
    </row>
    <row r="46" spans="1:16" x14ac:dyDescent="0.2">
      <c r="A46" s="21">
        <v>18</v>
      </c>
      <c r="B46" s="45" t="s">
        <v>395</v>
      </c>
      <c r="C46" s="35">
        <f t="shared" si="0"/>
        <v>42703</v>
      </c>
      <c r="D46" s="36">
        <v>2016</v>
      </c>
      <c r="E46" s="36">
        <v>334</v>
      </c>
      <c r="F46" s="37">
        <v>0.83300925925925895</v>
      </c>
      <c r="G46" s="38">
        <v>0</v>
      </c>
      <c r="H46" s="37">
        <v>7.2916666666666699E-2</v>
      </c>
      <c r="I46" s="35">
        <f t="shared" si="1"/>
        <v>42703</v>
      </c>
      <c r="J46" s="36">
        <v>2016</v>
      </c>
      <c r="K46" s="36">
        <v>334</v>
      </c>
      <c r="L46" s="37">
        <v>0.90592592592592602</v>
      </c>
      <c r="M46" s="41">
        <v>1900</v>
      </c>
      <c r="N46" s="42">
        <v>11.97</v>
      </c>
      <c r="O46" s="43">
        <v>245</v>
      </c>
      <c r="P46" s="44">
        <f t="shared" si="3"/>
        <v>1</v>
      </c>
    </row>
    <row r="47" spans="1:16" x14ac:dyDescent="0.2">
      <c r="A47" s="21"/>
      <c r="B47" s="45" t="s">
        <v>58</v>
      </c>
      <c r="C47" s="35">
        <f t="shared" si="0"/>
        <v>42703</v>
      </c>
      <c r="D47" s="47">
        <f>J46</f>
        <v>2016</v>
      </c>
      <c r="E47" s="36">
        <f>K46</f>
        <v>334</v>
      </c>
      <c r="F47" s="37">
        <f>L46</f>
        <v>0.90592592592592602</v>
      </c>
      <c r="G47" s="38">
        <f>IF((L47-F47)&gt;0,K47-E47,IF((L47-F47)=0,0,K47-E47 -$F$401))</f>
        <v>0</v>
      </c>
      <c r="H47" s="37">
        <f>IF((L47-F47)&gt;0,L47-F47,IF((L47-F47)=0,0,$H$401+L47-F47))</f>
        <v>0</v>
      </c>
      <c r="I47" s="35">
        <f t="shared" si="1"/>
        <v>42703</v>
      </c>
      <c r="J47" s="47">
        <f>D48</f>
        <v>2016</v>
      </c>
      <c r="K47" s="36">
        <f>E48</f>
        <v>334</v>
      </c>
      <c r="L47" s="37">
        <f>F48</f>
        <v>0.90592592592592602</v>
      </c>
      <c r="M47" s="43"/>
      <c r="N47" s="43"/>
      <c r="O47" s="43">
        <f>IF(VALUE(LEFT($O48,3))&lt;192,50,IF(VALUE(LEFT($O48,3))&gt;597,50,VLOOKUP(VLOOKUP(VALUE(LEFT($O48,3)),'CIRS Table Info'!$B$6:$J$425,2,FALSE),'CIRS Table Info'!$B$428:$C$431,2,FALSE)))</f>
        <v>602</v>
      </c>
      <c r="P47" s="44">
        <f t="shared" si="3"/>
        <v>1</v>
      </c>
    </row>
    <row r="48" spans="1:16" x14ac:dyDescent="0.2">
      <c r="A48" s="21">
        <v>19</v>
      </c>
      <c r="B48" s="45" t="s">
        <v>396</v>
      </c>
      <c r="C48" s="35">
        <f t="shared" si="0"/>
        <v>42703</v>
      </c>
      <c r="D48" s="36">
        <v>2016</v>
      </c>
      <c r="E48" s="36">
        <v>334</v>
      </c>
      <c r="F48" s="37">
        <v>0.90592592592592602</v>
      </c>
      <c r="G48" s="38">
        <v>0</v>
      </c>
      <c r="H48" s="37">
        <v>3.125E-2</v>
      </c>
      <c r="I48" s="35">
        <f t="shared" si="1"/>
        <v>42703</v>
      </c>
      <c r="J48" s="36">
        <v>2016</v>
      </c>
      <c r="K48" s="36">
        <v>334</v>
      </c>
      <c r="L48" s="37">
        <v>0.93717592592592602</v>
      </c>
      <c r="M48" s="41">
        <v>1900</v>
      </c>
      <c r="N48" s="42">
        <v>5.13</v>
      </c>
      <c r="O48" s="43">
        <v>245</v>
      </c>
      <c r="P48" s="44">
        <f t="shared" si="3"/>
        <v>1</v>
      </c>
    </row>
    <row r="49" spans="1:16" x14ac:dyDescent="0.2">
      <c r="A49" s="21"/>
      <c r="B49" s="45" t="s">
        <v>59</v>
      </c>
      <c r="C49" s="35">
        <f t="shared" si="0"/>
        <v>42703</v>
      </c>
      <c r="D49" s="47">
        <f>J48</f>
        <v>2016</v>
      </c>
      <c r="E49" s="36">
        <f>K48</f>
        <v>334</v>
      </c>
      <c r="F49" s="37">
        <f>L48</f>
        <v>0.93717592592592602</v>
      </c>
      <c r="G49" s="38">
        <f>IF((L49-F49)&gt;0,K49-E49,IF((L49-F49)=0,0,K49-E49 -$F$401))</f>
        <v>0</v>
      </c>
      <c r="H49" s="37">
        <f>IF((L49-F49)&gt;0,L49-F49,IF((L49-F49)=0,0,$H$401+L49-F49))</f>
        <v>0</v>
      </c>
      <c r="I49" s="35">
        <f t="shared" si="1"/>
        <v>42703</v>
      </c>
      <c r="J49" s="47">
        <f>D50</f>
        <v>2016</v>
      </c>
      <c r="K49" s="36">
        <f>E50</f>
        <v>334</v>
      </c>
      <c r="L49" s="37">
        <f>F50</f>
        <v>0.93717592592592602</v>
      </c>
      <c r="M49" s="43"/>
      <c r="N49" s="43"/>
      <c r="O49" s="43">
        <f>IF(VALUE(LEFT($O50,3))&lt;192,50,IF(VALUE(LEFT($O50,3))&gt;597,50,VLOOKUP(VLOOKUP(VALUE(LEFT($O50,3)),'CIRS Table Info'!$B$6:$J$425,2,FALSE),'CIRS Table Info'!$B$428:$C$431,2,FALSE)))</f>
        <v>600</v>
      </c>
      <c r="P49" s="44">
        <f t="shared" si="3"/>
        <v>1</v>
      </c>
    </row>
    <row r="50" spans="1:16" x14ac:dyDescent="0.2">
      <c r="A50" s="21">
        <v>20</v>
      </c>
      <c r="B50" s="45" t="s">
        <v>397</v>
      </c>
      <c r="C50" s="35">
        <f t="shared" si="0"/>
        <v>42703</v>
      </c>
      <c r="D50" s="36">
        <v>2016</v>
      </c>
      <c r="E50" s="36">
        <v>334</v>
      </c>
      <c r="F50" s="37">
        <v>0.93717592592592602</v>
      </c>
      <c r="G50" s="38">
        <v>0</v>
      </c>
      <c r="H50" s="37">
        <v>2.0833333333333301E-2</v>
      </c>
      <c r="I50" s="35">
        <f t="shared" si="1"/>
        <v>42703</v>
      </c>
      <c r="J50" s="36">
        <v>2016</v>
      </c>
      <c r="K50" s="36">
        <v>334</v>
      </c>
      <c r="L50" s="37">
        <v>0.95800925925925895</v>
      </c>
      <c r="M50" s="41">
        <v>4000</v>
      </c>
      <c r="N50" s="42">
        <v>7.2</v>
      </c>
      <c r="O50" s="43">
        <v>208</v>
      </c>
      <c r="P50" s="44">
        <f t="shared" si="3"/>
        <v>1</v>
      </c>
    </row>
    <row r="51" spans="1:16" x14ac:dyDescent="0.2">
      <c r="A51" s="21"/>
      <c r="B51" s="45" t="s">
        <v>60</v>
      </c>
      <c r="C51" s="35">
        <f t="shared" si="0"/>
        <v>42703</v>
      </c>
      <c r="D51" s="47">
        <f>J50</f>
        <v>2016</v>
      </c>
      <c r="E51" s="36">
        <f>K50</f>
        <v>334</v>
      </c>
      <c r="F51" s="37">
        <f>L50</f>
        <v>0.95800925925925895</v>
      </c>
      <c r="G51" s="38">
        <f>IF((L51-F51)&gt;0,K51-E51,IF((L51-F51)=0,0,K51-E51 -$F$401))</f>
        <v>0</v>
      </c>
      <c r="H51" s="37">
        <f>IF((L51-F51)&gt;0,L51-F51,IF((L51-F51)=0,0,$H$401+L51-F51))</f>
        <v>0</v>
      </c>
      <c r="I51" s="35">
        <f t="shared" si="1"/>
        <v>42703</v>
      </c>
      <c r="J51" s="47">
        <f>D52</f>
        <v>2016</v>
      </c>
      <c r="K51" s="36">
        <f>E52</f>
        <v>334</v>
      </c>
      <c r="L51" s="37">
        <f>F52</f>
        <v>0.95800925925925895</v>
      </c>
      <c r="M51" s="43"/>
      <c r="N51" s="43"/>
      <c r="O51" s="43">
        <f>IF(VALUE(LEFT($O52,3))&lt;192,50,IF(VALUE(LEFT($O52,3))&gt;597,50,VLOOKUP(VLOOKUP(VALUE(LEFT($O52,3)),'CIRS Table Info'!$B$6:$J$425,2,FALSE),'CIRS Table Info'!$B$428:$C$431,2,FALSE)))</f>
        <v>600</v>
      </c>
      <c r="P51" s="44">
        <f t="shared" si="3"/>
        <v>1</v>
      </c>
    </row>
    <row r="52" spans="1:16" x14ac:dyDescent="0.2">
      <c r="A52" s="21">
        <v>21</v>
      </c>
      <c r="B52" s="45" t="s">
        <v>400</v>
      </c>
      <c r="C52" s="35">
        <f t="shared" si="0"/>
        <v>42703</v>
      </c>
      <c r="D52" s="36">
        <v>2016</v>
      </c>
      <c r="E52" s="36">
        <v>334</v>
      </c>
      <c r="F52" s="37">
        <v>0.95800925925925895</v>
      </c>
      <c r="G52" s="38">
        <v>0</v>
      </c>
      <c r="H52" s="37">
        <v>2.0833333333333301E-2</v>
      </c>
      <c r="I52" s="35">
        <f t="shared" si="1"/>
        <v>42703</v>
      </c>
      <c r="J52" s="36">
        <v>2016</v>
      </c>
      <c r="K52" s="36">
        <v>334</v>
      </c>
      <c r="L52" s="37">
        <v>0.97884259259259299</v>
      </c>
      <c r="M52" s="41">
        <v>4000</v>
      </c>
      <c r="N52" s="42">
        <v>7.2</v>
      </c>
      <c r="O52" s="43">
        <v>208</v>
      </c>
      <c r="P52" s="44">
        <f t="shared" si="3"/>
        <v>1</v>
      </c>
    </row>
    <row r="53" spans="1:16" x14ac:dyDescent="0.2">
      <c r="A53" s="21"/>
      <c r="B53" s="45" t="s">
        <v>61</v>
      </c>
      <c r="C53" s="35">
        <f t="shared" si="0"/>
        <v>42703</v>
      </c>
      <c r="D53" s="47">
        <f>J52</f>
        <v>2016</v>
      </c>
      <c r="E53" s="36">
        <f>K52</f>
        <v>334</v>
      </c>
      <c r="F53" s="37">
        <f>L52</f>
        <v>0.97884259259259299</v>
      </c>
      <c r="G53" s="38">
        <f>IF((L53-F53)&gt;0,K53-E53,IF((L53-F53)=0,0,K53-E53 -$F$401))</f>
        <v>0</v>
      </c>
      <c r="H53" s="37">
        <f>IF((L53-F53)&gt;0,L53-F53,IF((L53-F53)=0,0,$H$401+L53-F53))</f>
        <v>0</v>
      </c>
      <c r="I53" s="35">
        <f t="shared" si="1"/>
        <v>42703</v>
      </c>
      <c r="J53" s="47">
        <f>D54</f>
        <v>2016</v>
      </c>
      <c r="K53" s="36">
        <f>E54</f>
        <v>334</v>
      </c>
      <c r="L53" s="37">
        <f>F54</f>
        <v>0.97884259259259299</v>
      </c>
      <c r="M53" s="43"/>
      <c r="N53" s="43"/>
      <c r="O53" s="43">
        <f>IF(VALUE(LEFT($O54,3))&lt;192,50,IF(VALUE(LEFT($O54,3))&gt;597,50,VLOOKUP(VLOOKUP(VALUE(LEFT($O54,3)),'CIRS Table Info'!$B$6:$J$425,2,FALSE),'CIRS Table Info'!$B$428:$C$431,2,FALSE)))</f>
        <v>606</v>
      </c>
      <c r="P53" s="44">
        <f t="shared" si="3"/>
        <v>1</v>
      </c>
    </row>
    <row r="54" spans="1:16" x14ac:dyDescent="0.2">
      <c r="A54" s="21">
        <v>22</v>
      </c>
      <c r="B54" s="45" t="s">
        <v>401</v>
      </c>
      <c r="C54" s="35">
        <f t="shared" si="0"/>
        <v>42703</v>
      </c>
      <c r="D54" s="36">
        <v>2016</v>
      </c>
      <c r="E54" s="36">
        <v>334</v>
      </c>
      <c r="F54" s="37">
        <v>0.97884259259259299</v>
      </c>
      <c r="G54" s="38">
        <v>0</v>
      </c>
      <c r="H54" s="37">
        <v>4.1666666666666699E-2</v>
      </c>
      <c r="I54" s="35">
        <f t="shared" si="1"/>
        <v>42704</v>
      </c>
      <c r="J54" s="36">
        <v>2016</v>
      </c>
      <c r="K54" s="36">
        <v>335</v>
      </c>
      <c r="L54" s="37">
        <v>2.05092592592593E-2</v>
      </c>
      <c r="M54" s="41">
        <v>4000</v>
      </c>
      <c r="N54" s="42">
        <v>14.4</v>
      </c>
      <c r="O54" s="43">
        <v>283</v>
      </c>
      <c r="P54" s="44">
        <f t="shared" si="3"/>
        <v>1</v>
      </c>
    </row>
    <row r="55" spans="1:16" x14ac:dyDescent="0.2">
      <c r="A55" s="21"/>
      <c r="B55" s="45" t="s">
        <v>62</v>
      </c>
      <c r="C55" s="35">
        <f t="shared" si="0"/>
        <v>42704</v>
      </c>
      <c r="D55" s="47">
        <f>J54</f>
        <v>2016</v>
      </c>
      <c r="E55" s="36">
        <f>K54</f>
        <v>335</v>
      </c>
      <c r="F55" s="37">
        <f>L54</f>
        <v>2.05092592592593E-2</v>
      </c>
      <c r="G55" s="38">
        <f>IF((L55-F55)&gt;0,K55-E55,IF((L55-F55)=0,0,K55-E55 -$F$401))</f>
        <v>0</v>
      </c>
      <c r="H55" s="37">
        <f>IF((L55-F55)&gt;0,L55-F55,IF((L55-F55)=0,0,$H$401+L55-F55))</f>
        <v>0</v>
      </c>
      <c r="I55" s="35">
        <f t="shared" si="1"/>
        <v>42704</v>
      </c>
      <c r="J55" s="47">
        <f>D56</f>
        <v>2016</v>
      </c>
      <c r="K55" s="36">
        <f>E56</f>
        <v>335</v>
      </c>
      <c r="L55" s="37">
        <f>F56</f>
        <v>2.05092592592593E-2</v>
      </c>
      <c r="M55" s="43"/>
      <c r="N55" s="43"/>
      <c r="O55" s="43">
        <f>IF(VALUE(LEFT($O56,3))&lt;192,50,IF(VALUE(LEFT($O56,3))&gt;597,50,VLOOKUP(VLOOKUP(VALUE(LEFT($O56,3)),'CIRS Table Info'!$B$6:$J$425,2,FALSE),'CIRS Table Info'!$B$428:$C$431,2,FALSE)))</f>
        <v>600</v>
      </c>
      <c r="P55" s="44">
        <f t="shared" si="3"/>
        <v>1</v>
      </c>
    </row>
    <row r="56" spans="1:16" x14ac:dyDescent="0.2">
      <c r="A56" s="21">
        <v>23</v>
      </c>
      <c r="B56" s="45" t="s">
        <v>402</v>
      </c>
      <c r="C56" s="35">
        <f t="shared" si="0"/>
        <v>42704</v>
      </c>
      <c r="D56" s="36">
        <v>2016</v>
      </c>
      <c r="E56" s="36">
        <v>335</v>
      </c>
      <c r="F56" s="37">
        <v>2.05092592592593E-2</v>
      </c>
      <c r="G56" s="38">
        <v>0</v>
      </c>
      <c r="H56" s="37">
        <v>0.114583333333333</v>
      </c>
      <c r="I56" s="35">
        <f t="shared" si="1"/>
        <v>42704</v>
      </c>
      <c r="J56" s="36">
        <v>2016</v>
      </c>
      <c r="K56" s="36">
        <v>335</v>
      </c>
      <c r="L56" s="37">
        <v>0.13509259259259301</v>
      </c>
      <c r="M56" s="41">
        <v>1900</v>
      </c>
      <c r="N56" s="42">
        <v>18.809999999999999</v>
      </c>
      <c r="O56" s="43">
        <v>461</v>
      </c>
      <c r="P56" s="44">
        <f t="shared" si="3"/>
        <v>1</v>
      </c>
    </row>
    <row r="57" spans="1:16" x14ac:dyDescent="0.2">
      <c r="A57" s="21"/>
      <c r="B57" s="45" t="s">
        <v>63</v>
      </c>
      <c r="C57" s="35">
        <f t="shared" si="0"/>
        <v>42704</v>
      </c>
      <c r="D57" s="47">
        <f>J56</f>
        <v>2016</v>
      </c>
      <c r="E57" s="36">
        <f>K56</f>
        <v>335</v>
      </c>
      <c r="F57" s="37">
        <f>L56</f>
        <v>0.13509259259259301</v>
      </c>
      <c r="G57" s="38">
        <f>IF((L57-F57)&gt;0,K57-E57,IF((L57-F57)=0,0,K57-E57 -$F$401))</f>
        <v>0</v>
      </c>
      <c r="H57" s="37">
        <f>IF((L57-F57)&gt;0,L57-F57,IF((L57-F57)=0,0,$H$401+L57-F57))</f>
        <v>0</v>
      </c>
      <c r="I57" s="35">
        <f t="shared" si="1"/>
        <v>42704</v>
      </c>
      <c r="J57" s="47">
        <f>D58</f>
        <v>2016</v>
      </c>
      <c r="K57" s="36">
        <f>E58</f>
        <v>335</v>
      </c>
      <c r="L57" s="37">
        <f>F58</f>
        <v>0.13509259259259301</v>
      </c>
      <c r="M57" s="43"/>
      <c r="N57" s="43"/>
      <c r="O57" s="43">
        <f>IF(VALUE(LEFT($O58,3))&lt;192,50,IF(VALUE(LEFT($O58,3))&gt;597,50,VLOOKUP(VLOOKUP(VALUE(LEFT($O58,3)),'CIRS Table Info'!$B$6:$J$425,2,FALSE),'CIRS Table Info'!$B$428:$C$431,2,FALSE)))</f>
        <v>606</v>
      </c>
      <c r="P57" s="44">
        <f t="shared" si="3"/>
        <v>1</v>
      </c>
    </row>
    <row r="58" spans="1:16" x14ac:dyDescent="0.2">
      <c r="A58" s="21">
        <v>24</v>
      </c>
      <c r="B58" s="45" t="s">
        <v>404</v>
      </c>
      <c r="C58" s="35">
        <f t="shared" si="0"/>
        <v>42704</v>
      </c>
      <c r="D58" s="36">
        <v>2016</v>
      </c>
      <c r="E58" s="36">
        <v>335</v>
      </c>
      <c r="F58" s="37">
        <v>0.13509259259259301</v>
      </c>
      <c r="G58" s="38">
        <v>0</v>
      </c>
      <c r="H58" s="37">
        <v>0.16666666666666699</v>
      </c>
      <c r="I58" s="35">
        <f t="shared" si="1"/>
        <v>42704</v>
      </c>
      <c r="J58" s="36">
        <v>2016</v>
      </c>
      <c r="K58" s="36">
        <v>335</v>
      </c>
      <c r="L58" s="37">
        <v>0.30175925925925901</v>
      </c>
      <c r="M58" s="41">
        <v>3600</v>
      </c>
      <c r="N58" s="42">
        <v>51.84</v>
      </c>
      <c r="O58" s="43">
        <v>541</v>
      </c>
      <c r="P58" s="44">
        <f t="shared" si="3"/>
        <v>1</v>
      </c>
    </row>
    <row r="59" spans="1:16" x14ac:dyDescent="0.2">
      <c r="A59" s="21"/>
      <c r="B59" s="45" t="s">
        <v>64</v>
      </c>
      <c r="C59" s="35">
        <f t="shared" si="0"/>
        <v>42704</v>
      </c>
      <c r="D59" s="47">
        <f>J58</f>
        <v>2016</v>
      </c>
      <c r="E59" s="36">
        <f>K58</f>
        <v>335</v>
      </c>
      <c r="F59" s="37">
        <f>L58</f>
        <v>0.30175925925925901</v>
      </c>
      <c r="G59" s="38">
        <f>IF((L59-F59)&gt;0,K59-E59,IF((L59-F59)=0,0,K59-E59 -$F$401))</f>
        <v>0</v>
      </c>
      <c r="H59" s="37">
        <f>IF((L59-F59)&gt;0,L59-F59,IF((L59-F59)=0,0,$H$401+L59-F59))</f>
        <v>0</v>
      </c>
      <c r="I59" s="35">
        <f t="shared" si="1"/>
        <v>42704</v>
      </c>
      <c r="J59" s="47">
        <f>D60</f>
        <v>2016</v>
      </c>
      <c r="K59" s="36">
        <f>E60</f>
        <v>335</v>
      </c>
      <c r="L59" s="37">
        <f>F60</f>
        <v>0.30175925925925901</v>
      </c>
      <c r="M59" s="43"/>
      <c r="N59" s="43"/>
      <c r="O59" s="43">
        <f>IF(VALUE(LEFT($O60,3))&lt;192,50,IF(VALUE(LEFT($O60,3))&gt;597,50,VLOOKUP(VLOOKUP(VALUE(LEFT($O60,3)),'CIRS Table Info'!$B$6:$J$425,2,FALSE),'CIRS Table Info'!$B$428:$C$431,2,FALSE)))</f>
        <v>606</v>
      </c>
      <c r="P59" s="44">
        <f t="shared" si="3"/>
        <v>1</v>
      </c>
    </row>
    <row r="60" spans="1:16" x14ac:dyDescent="0.2">
      <c r="A60" s="21">
        <v>25</v>
      </c>
      <c r="B60" s="45" t="s">
        <v>406</v>
      </c>
      <c r="C60" s="35">
        <f t="shared" si="0"/>
        <v>42704</v>
      </c>
      <c r="D60" s="36">
        <v>2016</v>
      </c>
      <c r="E60" s="36">
        <v>335</v>
      </c>
      <c r="F60" s="37">
        <v>0.30175925925925901</v>
      </c>
      <c r="G60" s="38">
        <v>0</v>
      </c>
      <c r="H60" s="37">
        <v>0.16666666666666699</v>
      </c>
      <c r="I60" s="35">
        <f t="shared" si="1"/>
        <v>42704</v>
      </c>
      <c r="J60" s="36">
        <v>2016</v>
      </c>
      <c r="K60" s="36">
        <v>335</v>
      </c>
      <c r="L60" s="37">
        <v>0.46842592592592602</v>
      </c>
      <c r="M60" s="41">
        <v>4000</v>
      </c>
      <c r="N60" s="42">
        <v>57.6</v>
      </c>
      <c r="O60" s="43">
        <v>591</v>
      </c>
      <c r="P60" s="44">
        <f t="shared" si="3"/>
        <v>1</v>
      </c>
    </row>
    <row r="61" spans="1:16" x14ac:dyDescent="0.2">
      <c r="A61" s="21"/>
      <c r="B61" s="45" t="s">
        <v>65</v>
      </c>
      <c r="C61" s="35">
        <f t="shared" si="0"/>
        <v>42704</v>
      </c>
      <c r="D61" s="47">
        <f>J60</f>
        <v>2016</v>
      </c>
      <c r="E61" s="36">
        <f>K60</f>
        <v>335</v>
      </c>
      <c r="F61" s="37">
        <f>L60</f>
        <v>0.46842592592592602</v>
      </c>
      <c r="G61" s="38">
        <f>IF((L61-F61)&gt;0,K61-E61,IF((L61-F61)=0,0,K61-E61 -$F$401))</f>
        <v>0</v>
      </c>
      <c r="H61" s="37">
        <f>IF((L61-F61)&gt;0,L61-F61,IF((L61-F61)=0,0,$H$401+L61-F61))</f>
        <v>0</v>
      </c>
      <c r="I61" s="35">
        <f t="shared" si="1"/>
        <v>42704</v>
      </c>
      <c r="J61" s="47">
        <f>D62</f>
        <v>2016</v>
      </c>
      <c r="K61" s="36">
        <f>E62</f>
        <v>335</v>
      </c>
      <c r="L61" s="37">
        <f>F62</f>
        <v>0.46842592592592602</v>
      </c>
      <c r="M61" s="43"/>
      <c r="N61" s="43"/>
      <c r="O61" s="43">
        <f>IF(VALUE(LEFT($O62,3))&lt;192,50,IF(VALUE(LEFT($O62,3))&gt;597,50,VLOOKUP(VLOOKUP(VALUE(LEFT($O62,3)),'CIRS Table Info'!$B$6:$J$425,2,FALSE),'CIRS Table Info'!$B$428:$C$431,2,FALSE)))</f>
        <v>602</v>
      </c>
      <c r="P61" s="44">
        <f t="shared" si="3"/>
        <v>1</v>
      </c>
    </row>
    <row r="62" spans="1:16" x14ac:dyDescent="0.2">
      <c r="A62" s="21">
        <v>26</v>
      </c>
      <c r="B62" s="45" t="s">
        <v>407</v>
      </c>
      <c r="C62" s="35">
        <f t="shared" si="0"/>
        <v>42704</v>
      </c>
      <c r="D62" s="36">
        <v>2016</v>
      </c>
      <c r="E62" s="36">
        <v>335</v>
      </c>
      <c r="F62" s="37">
        <v>0.46842592592592602</v>
      </c>
      <c r="G62" s="38">
        <v>0</v>
      </c>
      <c r="H62" s="37">
        <v>0.27324074074074101</v>
      </c>
      <c r="I62" s="35">
        <f t="shared" si="1"/>
        <v>42704</v>
      </c>
      <c r="J62" s="36">
        <v>2016</v>
      </c>
      <c r="K62" s="36">
        <v>335</v>
      </c>
      <c r="L62" s="37">
        <v>0.74166666666666703</v>
      </c>
      <c r="M62" s="41">
        <v>1900</v>
      </c>
      <c r="N62" s="42">
        <v>44.854999999999997</v>
      </c>
      <c r="O62" s="43">
        <v>473</v>
      </c>
      <c r="P62" s="44">
        <f t="shared" si="3"/>
        <v>1</v>
      </c>
    </row>
    <row r="63" spans="1:16" x14ac:dyDescent="0.2">
      <c r="A63" s="21"/>
      <c r="B63" s="45" t="s">
        <v>66</v>
      </c>
      <c r="C63" s="35">
        <f t="shared" si="0"/>
        <v>42704</v>
      </c>
      <c r="D63" s="47">
        <f>J62</f>
        <v>2016</v>
      </c>
      <c r="E63" s="36">
        <f>K62</f>
        <v>335</v>
      </c>
      <c r="F63" s="37">
        <f>L62</f>
        <v>0.74166666666666703</v>
      </c>
      <c r="G63" s="38">
        <f>IF((L63-F63)&gt;0,K63-E63,IF((L63-F63)=0,0,K63-E63 -$F$401))</f>
        <v>0</v>
      </c>
      <c r="H63" s="37">
        <f>IF((L63-F63)&gt;0,L63-F63,IF((L63-F63)=0,0,$H$401+L63-F63))</f>
        <v>0.14236111111111094</v>
      </c>
      <c r="I63" s="35">
        <f t="shared" si="1"/>
        <v>42704</v>
      </c>
      <c r="J63" s="47">
        <f>D64</f>
        <v>2016</v>
      </c>
      <c r="K63" s="36">
        <f>E64</f>
        <v>335</v>
      </c>
      <c r="L63" s="37">
        <f>F64</f>
        <v>0.88402777777777797</v>
      </c>
      <c r="M63" s="43"/>
      <c r="N63" s="43"/>
      <c r="O63" s="43">
        <f>IF(VALUE(LEFT($O64,3))&lt;192,50,IF(VALUE(LEFT($O64,3))&gt;597,50,VLOOKUP(VLOOKUP(VALUE(LEFT($O64,3)),'CIRS Table Info'!$B$6:$J$425,2,FALSE),'CIRS Table Info'!$B$428:$C$431,2,FALSE)))</f>
        <v>50</v>
      </c>
      <c r="P63" s="44">
        <f t="shared" si="3"/>
        <v>10</v>
      </c>
    </row>
    <row r="64" spans="1:16" x14ac:dyDescent="0.2">
      <c r="A64" s="21">
        <v>27</v>
      </c>
      <c r="B64" s="45" t="s">
        <v>409</v>
      </c>
      <c r="C64" s="35">
        <f t="shared" si="0"/>
        <v>42704</v>
      </c>
      <c r="D64" s="36">
        <v>2016</v>
      </c>
      <c r="E64" s="36">
        <v>335</v>
      </c>
      <c r="F64" s="37">
        <v>0.88402777777777797</v>
      </c>
      <c r="G64" s="38">
        <v>0</v>
      </c>
      <c r="H64" s="37">
        <v>0.5</v>
      </c>
      <c r="I64" s="35">
        <f t="shared" si="1"/>
        <v>42705</v>
      </c>
      <c r="J64" s="36">
        <v>2016</v>
      </c>
      <c r="K64" s="36">
        <v>336</v>
      </c>
      <c r="L64" s="37">
        <v>0.38402777777777802</v>
      </c>
      <c r="M64" s="41">
        <v>3000</v>
      </c>
      <c r="N64" s="42">
        <v>129.6</v>
      </c>
      <c r="O64" s="43">
        <f>IF(MID(B64,6,7)="NO_DATA",50,IF(N64=0,50,IF(A64="", " ",776)))</f>
        <v>776</v>
      </c>
      <c r="P64" s="44">
        <f t="shared" si="3"/>
        <v>1</v>
      </c>
    </row>
    <row r="65" spans="1:16" x14ac:dyDescent="0.2">
      <c r="A65" s="21"/>
      <c r="B65" s="45" t="s">
        <v>67</v>
      </c>
      <c r="C65" s="35">
        <f t="shared" si="0"/>
        <v>42705</v>
      </c>
      <c r="D65" s="47">
        <f>J64</f>
        <v>2016</v>
      </c>
      <c r="E65" s="36">
        <f>K64</f>
        <v>336</v>
      </c>
      <c r="F65" s="37">
        <f>L64</f>
        <v>0.38402777777777802</v>
      </c>
      <c r="G65" s="38">
        <f>IF((L65-F65)&gt;0,K65-E65,IF((L65-F65)=0,0,K65-E65 -$F$401))</f>
        <v>0</v>
      </c>
      <c r="H65" s="37">
        <f>IF((L65-F65)&gt;0,L65-F65,IF((L65-F65)=0,0,$H$401+L65-F65))</f>
        <v>2.7777777777777957E-2</v>
      </c>
      <c r="I65" s="35">
        <f t="shared" si="1"/>
        <v>42705</v>
      </c>
      <c r="J65" s="47">
        <f>D66</f>
        <v>2016</v>
      </c>
      <c r="K65" s="36">
        <f>E66</f>
        <v>336</v>
      </c>
      <c r="L65" s="37">
        <f>F66</f>
        <v>0.41180555555555598</v>
      </c>
      <c r="M65" s="43"/>
      <c r="N65" s="43"/>
      <c r="O65" s="43">
        <f>IF(VALUE(LEFT($O66,3))&lt;192,50,IF(VALUE(LEFT($O66,3))&gt;597,50,VLOOKUP(VLOOKUP(VALUE(LEFT($O66,3)),'CIRS Table Info'!$B$6:$J$425,2,FALSE),'CIRS Table Info'!$B$428:$C$431,2,FALSE)))</f>
        <v>606</v>
      </c>
      <c r="P65" s="44">
        <f t="shared" si="3"/>
        <v>1</v>
      </c>
    </row>
    <row r="66" spans="1:16" x14ac:dyDescent="0.2">
      <c r="A66" s="21">
        <v>28</v>
      </c>
      <c r="B66" s="45" t="s">
        <v>410</v>
      </c>
      <c r="C66" s="35">
        <f t="shared" si="0"/>
        <v>42705</v>
      </c>
      <c r="D66" s="36">
        <v>2016</v>
      </c>
      <c r="E66" s="36">
        <v>336</v>
      </c>
      <c r="F66" s="37">
        <v>0.41180555555555598</v>
      </c>
      <c r="G66" s="38">
        <v>0</v>
      </c>
      <c r="H66" s="37">
        <v>0.34583333333333299</v>
      </c>
      <c r="I66" s="35">
        <f t="shared" si="1"/>
        <v>42705</v>
      </c>
      <c r="J66" s="36">
        <v>2016</v>
      </c>
      <c r="K66" s="36">
        <v>336</v>
      </c>
      <c r="L66" s="37">
        <v>0.75763888888888897</v>
      </c>
      <c r="M66" s="41">
        <v>2000</v>
      </c>
      <c r="N66" s="42">
        <v>59.76</v>
      </c>
      <c r="O66" s="471" t="s">
        <v>640</v>
      </c>
      <c r="P66" s="472" t="s">
        <v>639</v>
      </c>
    </row>
    <row r="67" spans="1:16" x14ac:dyDescent="0.2">
      <c r="A67" s="21"/>
      <c r="B67" s="45" t="s">
        <v>68</v>
      </c>
      <c r="C67" s="35">
        <f t="shared" si="0"/>
        <v>42705</v>
      </c>
      <c r="D67" s="47">
        <f>J66</f>
        <v>2016</v>
      </c>
      <c r="E67" s="36">
        <f>K66</f>
        <v>336</v>
      </c>
      <c r="F67" s="37">
        <f>L66</f>
        <v>0.75763888888888897</v>
      </c>
      <c r="G67" s="38">
        <f>IF((L67-F67)&gt;0,K67-E67,IF((L67-F67)=0,0,K67-E67 -$F$401))</f>
        <v>0</v>
      </c>
      <c r="H67" s="37">
        <f>IF((L67-F67)&gt;0,L67-F67,IF((L67-F67)=0,0,$H$401+L67-F67))</f>
        <v>0.13194444444444398</v>
      </c>
      <c r="I67" s="35">
        <f t="shared" si="1"/>
        <v>42705</v>
      </c>
      <c r="J67" s="47">
        <f>D68</f>
        <v>2016</v>
      </c>
      <c r="K67" s="36">
        <f>E68</f>
        <v>336</v>
      </c>
      <c r="L67" s="37">
        <f>F68</f>
        <v>0.88958333333333295</v>
      </c>
      <c r="M67" s="43"/>
      <c r="N67" s="43"/>
      <c r="O67" s="43">
        <f>IF(VALUE(LEFT($O68,3))&lt;192,50,IF(VALUE(LEFT($O68,3))&gt;597,50,VLOOKUP(VLOOKUP(VALUE(LEFT($O68,3)),'CIRS Table Info'!$B$6:$J$425,2,FALSE),'CIRS Table Info'!$B$428:$C$431,2,FALSE)))</f>
        <v>50</v>
      </c>
      <c r="P67" s="44">
        <f>IF(O67=50,10,1)</f>
        <v>10</v>
      </c>
    </row>
    <row r="68" spans="1:16" x14ac:dyDescent="0.2">
      <c r="A68" s="21">
        <v>29</v>
      </c>
      <c r="B68" s="45" t="s">
        <v>412</v>
      </c>
      <c r="C68" s="35">
        <f t="shared" si="0"/>
        <v>42705</v>
      </c>
      <c r="D68" s="39">
        <v>2016</v>
      </c>
      <c r="E68" s="40">
        <v>336</v>
      </c>
      <c r="F68" s="37">
        <v>0.88958333333333295</v>
      </c>
      <c r="G68" s="38">
        <v>0</v>
      </c>
      <c r="H68" s="37">
        <v>0.33333333333333298</v>
      </c>
      <c r="I68" s="35">
        <f t="shared" si="1"/>
        <v>42706</v>
      </c>
      <c r="J68" s="47">
        <v>2016</v>
      </c>
      <c r="K68" s="36">
        <v>337</v>
      </c>
      <c r="L68" s="37">
        <v>0.22291666666666701</v>
      </c>
      <c r="M68" s="43">
        <v>3000</v>
      </c>
      <c r="N68" s="43">
        <v>86.4</v>
      </c>
      <c r="O68" s="43">
        <f>IF(MID(B68,6,7)="NO_DATA",50,IF(N68=0,50,IF(A68="", " ",778)))</f>
        <v>778</v>
      </c>
      <c r="P68" s="44">
        <f>IF(O68=50,10,1)</f>
        <v>1</v>
      </c>
    </row>
    <row r="69" spans="1:16" x14ac:dyDescent="0.2">
      <c r="A69" s="21"/>
      <c r="B69" s="45" t="s">
        <v>69</v>
      </c>
      <c r="C69" s="35">
        <f t="shared" si="0"/>
        <v>42706</v>
      </c>
      <c r="D69" s="36">
        <f>J68</f>
        <v>2016</v>
      </c>
      <c r="E69" s="36">
        <f>K68</f>
        <v>337</v>
      </c>
      <c r="F69" s="37">
        <f>L68</f>
        <v>0.22291666666666701</v>
      </c>
      <c r="G69" s="38">
        <f>IF((L69-F69)&gt;0,K69-E69,IF((L69-F69)=0,0,K69-E69 -$F$401))</f>
        <v>0</v>
      </c>
      <c r="H69" s="37">
        <f>IF((L69-F69)&gt;0,L69-F69,IF((L69-F69)=0,0,$H$401+L69-F69))</f>
        <v>2.7777777777776985E-2</v>
      </c>
      <c r="I69" s="35">
        <f t="shared" si="1"/>
        <v>42706</v>
      </c>
      <c r="J69" s="36">
        <f>D70</f>
        <v>2016</v>
      </c>
      <c r="K69" s="36">
        <f>E70</f>
        <v>337</v>
      </c>
      <c r="L69" s="37">
        <f>F70</f>
        <v>0.250694444444444</v>
      </c>
      <c r="M69" s="41"/>
      <c r="N69" s="42"/>
      <c r="O69" s="43">
        <f>IF(VALUE(LEFT($O70,3))&lt;192,50,IF(VALUE(LEFT($O70,3))&gt;597,50,VLOOKUP(VLOOKUP(VALUE(LEFT($O70,3)),'CIRS Table Info'!$B$6:$J$425,2,FALSE),'CIRS Table Info'!$B$428:$C$431,2,FALSE)))</f>
        <v>602</v>
      </c>
      <c r="P69" s="44">
        <f>IF(O69=50,10,1)</f>
        <v>1</v>
      </c>
    </row>
    <row r="70" spans="1:16" x14ac:dyDescent="0.2">
      <c r="A70" s="21">
        <v>30</v>
      </c>
      <c r="B70" s="45" t="s">
        <v>413</v>
      </c>
      <c r="C70" s="35">
        <f t="shared" si="0"/>
        <v>42706</v>
      </c>
      <c r="D70" s="39">
        <v>2016</v>
      </c>
      <c r="E70" s="40">
        <v>337</v>
      </c>
      <c r="F70" s="37">
        <v>0.250694444444444</v>
      </c>
      <c r="G70" s="38">
        <v>0</v>
      </c>
      <c r="H70" s="37">
        <v>0.48055555555555601</v>
      </c>
      <c r="I70" s="35">
        <f t="shared" si="1"/>
        <v>42706</v>
      </c>
      <c r="J70" s="47">
        <v>2016</v>
      </c>
      <c r="K70" s="36">
        <v>337</v>
      </c>
      <c r="L70" s="37">
        <v>0.73124999999999996</v>
      </c>
      <c r="M70" s="43">
        <v>4000</v>
      </c>
      <c r="N70" s="43">
        <v>166.08</v>
      </c>
      <c r="O70" s="471" t="s">
        <v>638</v>
      </c>
      <c r="P70" s="472" t="s">
        <v>639</v>
      </c>
    </row>
    <row r="71" spans="1:16" x14ac:dyDescent="0.2">
      <c r="A71" s="21"/>
      <c r="B71" s="45" t="s">
        <v>70</v>
      </c>
      <c r="C71" s="35">
        <f t="shared" si="0"/>
        <v>42706</v>
      </c>
      <c r="D71" s="36">
        <f>J70</f>
        <v>2016</v>
      </c>
      <c r="E71" s="36">
        <f>K70</f>
        <v>337</v>
      </c>
      <c r="F71" s="37">
        <f>L70</f>
        <v>0.73124999999999996</v>
      </c>
      <c r="G71" s="38">
        <f>IF((L71-F71)&gt;0,K71-E71,IF((L71-F71)=0,0,K71-E71 -$F$401))</f>
        <v>0</v>
      </c>
      <c r="H71" s="37">
        <f>IF((L71-F71)&gt;0,L71-F71,IF((L71-F71)=0,0,$H$401+L71-F71))</f>
        <v>0</v>
      </c>
      <c r="I71" s="35">
        <f t="shared" si="1"/>
        <v>42706</v>
      </c>
      <c r="J71" s="36">
        <f>D72</f>
        <v>2016</v>
      </c>
      <c r="K71" s="36">
        <f>E72</f>
        <v>337</v>
      </c>
      <c r="L71" s="37">
        <f>F72</f>
        <v>0.73124999999999996</v>
      </c>
      <c r="M71" s="41"/>
      <c r="N71" s="42"/>
      <c r="O71" s="43">
        <f>IF(VALUE(LEFT($O72,3))&lt;192,50,IF(VALUE(LEFT($O72,3))&gt;597,50,VLOOKUP(VLOOKUP(VALUE(LEFT($O72,3)),'CIRS Table Info'!$B$6:$J$425,2,FALSE),'CIRS Table Info'!$B$428:$C$431,2,FALSE)))</f>
        <v>602</v>
      </c>
      <c r="P71" s="44">
        <f>IF(O71=50,10,1)</f>
        <v>1</v>
      </c>
    </row>
    <row r="72" spans="1:16" x14ac:dyDescent="0.2">
      <c r="A72" s="21">
        <v>31</v>
      </c>
      <c r="B72" s="45" t="s">
        <v>415</v>
      </c>
      <c r="C72" s="35">
        <f t="shared" ref="C72:C135" si="4">DATE(D72,1,E72)</f>
        <v>42706</v>
      </c>
      <c r="D72" s="39">
        <v>2016</v>
      </c>
      <c r="E72" s="40">
        <v>337</v>
      </c>
      <c r="F72" s="37">
        <v>0.73124999999999996</v>
      </c>
      <c r="G72" s="38">
        <v>0</v>
      </c>
      <c r="H72" s="37">
        <v>0.20833333333333301</v>
      </c>
      <c r="I72" s="35">
        <f t="shared" si="1"/>
        <v>42706</v>
      </c>
      <c r="J72" s="47">
        <v>2016</v>
      </c>
      <c r="K72" s="36">
        <v>337</v>
      </c>
      <c r="L72" s="37">
        <v>0.93958333333333299</v>
      </c>
      <c r="M72" s="43">
        <v>2000</v>
      </c>
      <c r="N72" s="43">
        <v>36</v>
      </c>
      <c r="O72" s="43">
        <v>572</v>
      </c>
      <c r="P72" s="44">
        <f>IF(O72=50,10,1)</f>
        <v>1</v>
      </c>
    </row>
    <row r="73" spans="1:16" x14ac:dyDescent="0.2">
      <c r="A73" s="21"/>
      <c r="B73" s="45" t="s">
        <v>71</v>
      </c>
      <c r="C73" s="35">
        <f t="shared" si="4"/>
        <v>42706</v>
      </c>
      <c r="D73" s="36">
        <f>J72</f>
        <v>2016</v>
      </c>
      <c r="E73" s="36">
        <f>K72</f>
        <v>337</v>
      </c>
      <c r="F73" s="37">
        <f>L72</f>
        <v>0.93958333333333299</v>
      </c>
      <c r="G73" s="38">
        <f>IF((L73-F73)&gt;0,K73-E73,IF((L73-F73)=0,0,K73-E73 -$F$401))</f>
        <v>0</v>
      </c>
      <c r="H73" s="37">
        <f>IF((L73-F73)&gt;0,L73-F73,IF((L73-F73)=0,0,$H$401+L73-F73))</f>
        <v>0.2777777777777779</v>
      </c>
      <c r="I73" s="35">
        <f t="shared" ref="I73:I136" si="5">DATE(J73,1,K73)</f>
        <v>42707</v>
      </c>
      <c r="J73" s="36">
        <f>D74</f>
        <v>2016</v>
      </c>
      <c r="K73" s="36">
        <f>E74</f>
        <v>338</v>
      </c>
      <c r="L73" s="37">
        <f>F74</f>
        <v>0.21736111111111101</v>
      </c>
      <c r="M73" s="41"/>
      <c r="N73" s="42"/>
      <c r="O73" s="43">
        <f>IF(VALUE(LEFT($O74,3))&lt;192,50,IF(VALUE(LEFT($O74,3))&gt;597,50,VLOOKUP(VLOOKUP(VALUE(LEFT($O74,3)),'CIRS Table Info'!$B$6:$J$425,2,FALSE),'CIRS Table Info'!$B$428:$C$431,2,FALSE)))</f>
        <v>50</v>
      </c>
      <c r="P73" s="44">
        <f>IF(O73=50,10,1)</f>
        <v>10</v>
      </c>
    </row>
    <row r="74" spans="1:16" x14ac:dyDescent="0.2">
      <c r="A74" s="21">
        <v>32</v>
      </c>
      <c r="B74" s="45" t="s">
        <v>416</v>
      </c>
      <c r="C74" s="35">
        <f t="shared" si="4"/>
        <v>42707</v>
      </c>
      <c r="D74" s="39">
        <v>2016</v>
      </c>
      <c r="E74" s="40">
        <v>338</v>
      </c>
      <c r="F74" s="37">
        <v>0.21736111111111101</v>
      </c>
      <c r="G74" s="38">
        <v>0</v>
      </c>
      <c r="H74" s="37">
        <v>0.40625</v>
      </c>
      <c r="I74" s="35">
        <f t="shared" si="5"/>
        <v>42707</v>
      </c>
      <c r="J74" s="47">
        <v>2016</v>
      </c>
      <c r="K74" s="36">
        <v>338</v>
      </c>
      <c r="L74" s="37">
        <v>0.62361111111111101</v>
      </c>
      <c r="M74" s="43">
        <v>2000</v>
      </c>
      <c r="N74" s="43">
        <v>70.2</v>
      </c>
      <c r="O74" s="43">
        <f>IF(MID(B74,6,7)="NO_DATA",50,IF(N74=0,50,IF(A74="", " ",781)))</f>
        <v>781</v>
      </c>
      <c r="P74" s="44">
        <f>IF(O74=50,10,1)</f>
        <v>1</v>
      </c>
    </row>
    <row r="75" spans="1:16" x14ac:dyDescent="0.2">
      <c r="A75" s="21"/>
      <c r="B75" s="45" t="s">
        <v>72</v>
      </c>
      <c r="C75" s="35">
        <f t="shared" si="4"/>
        <v>42707</v>
      </c>
      <c r="D75" s="36">
        <f>J74</f>
        <v>2016</v>
      </c>
      <c r="E75" s="36">
        <f>K74</f>
        <v>338</v>
      </c>
      <c r="F75" s="37">
        <f>L74</f>
        <v>0.62361111111111101</v>
      </c>
      <c r="G75" s="38">
        <f>IF((L75-F75)&gt;0,K75-E75,IF((L75-F75)=0,0,K75-E75 -$F$401))</f>
        <v>0</v>
      </c>
      <c r="H75" s="37">
        <f>IF((L75-F75)&gt;0,L75-F75,IF((L75-F75)=0,0,$H$401+L75-F75))</f>
        <v>2.7777777777778012E-2</v>
      </c>
      <c r="I75" s="35">
        <f t="shared" si="5"/>
        <v>42707</v>
      </c>
      <c r="J75" s="36">
        <f>D76</f>
        <v>2016</v>
      </c>
      <c r="K75" s="36">
        <f>E76</f>
        <v>338</v>
      </c>
      <c r="L75" s="37">
        <f>F76</f>
        <v>0.65138888888888902</v>
      </c>
      <c r="M75" s="41"/>
      <c r="N75" s="42"/>
      <c r="O75" s="43">
        <f>IF(VALUE(LEFT($O76,3))&lt;192,50,IF(VALUE(LEFT($O76,3))&gt;597,50,VLOOKUP(VLOOKUP(VALUE(LEFT($O76,3)),'CIRS Table Info'!$B$6:$J$425,2,FALSE),'CIRS Table Info'!$B$428:$C$431,2,FALSE)))</f>
        <v>602</v>
      </c>
      <c r="P75" s="44">
        <f>IF(O75=50,10,1)</f>
        <v>1</v>
      </c>
    </row>
    <row r="76" spans="1:16" x14ac:dyDescent="0.2">
      <c r="A76" s="21">
        <v>33</v>
      </c>
      <c r="B76" s="45" t="s">
        <v>417</v>
      </c>
      <c r="C76" s="35">
        <f t="shared" si="4"/>
        <v>42707</v>
      </c>
      <c r="D76" s="39">
        <v>2016</v>
      </c>
      <c r="E76" s="40">
        <v>338</v>
      </c>
      <c r="F76" s="37">
        <v>0.65138888888888902</v>
      </c>
      <c r="G76" s="38">
        <v>0</v>
      </c>
      <c r="H76" s="37">
        <v>0.375</v>
      </c>
      <c r="I76" s="35">
        <f t="shared" si="5"/>
        <v>42708</v>
      </c>
      <c r="J76" s="47">
        <v>2016</v>
      </c>
      <c r="K76" s="36">
        <v>339</v>
      </c>
      <c r="L76" s="37">
        <v>2.6388888888888899E-2</v>
      </c>
      <c r="M76" s="43">
        <v>2000</v>
      </c>
      <c r="N76" s="43">
        <v>64.8</v>
      </c>
      <c r="O76" s="43">
        <v>572</v>
      </c>
      <c r="P76" s="44">
        <v>2</v>
      </c>
    </row>
    <row r="77" spans="1:16" x14ac:dyDescent="0.2">
      <c r="A77" s="21"/>
      <c r="B77" s="45" t="s">
        <v>73</v>
      </c>
      <c r="C77" s="35">
        <f t="shared" si="4"/>
        <v>42708</v>
      </c>
      <c r="D77" s="36">
        <f>J76</f>
        <v>2016</v>
      </c>
      <c r="E77" s="36">
        <f>K76</f>
        <v>339</v>
      </c>
      <c r="F77" s="37">
        <f>L76</f>
        <v>2.6388888888888899E-2</v>
      </c>
      <c r="G77" s="38">
        <f>IF((L77-F77)&gt;0,K77-E77,IF((L77-F77)=0,0,K77-E77 -$F$401))</f>
        <v>0</v>
      </c>
      <c r="H77" s="37">
        <f>IF((L77-F77)&gt;0,L77-F77,IF((L77-F77)=0,0,$H$401+L77-F77))</f>
        <v>0.39930555555555508</v>
      </c>
      <c r="I77" s="35">
        <f t="shared" si="5"/>
        <v>42708</v>
      </c>
      <c r="J77" s="36">
        <f>D78</f>
        <v>2016</v>
      </c>
      <c r="K77" s="36">
        <f>E78</f>
        <v>339</v>
      </c>
      <c r="L77" s="37">
        <f>F78</f>
        <v>0.42569444444444399</v>
      </c>
      <c r="M77" s="41"/>
      <c r="N77" s="42"/>
      <c r="O77" s="43">
        <f>IF(VALUE(LEFT($O78,3))&lt;192,50,IF(VALUE(LEFT($O78,3))&gt;597,50,VLOOKUP(VLOOKUP(VALUE(LEFT($O78,3)),'CIRS Table Info'!$B$6:$J$425,2,FALSE),'CIRS Table Info'!$B$428:$C$431,2,FALSE)))</f>
        <v>50</v>
      </c>
      <c r="P77" s="44">
        <f t="shared" ref="P77:P85" si="6">IF(O77=50,10,1)</f>
        <v>10</v>
      </c>
    </row>
    <row r="78" spans="1:16" x14ac:dyDescent="0.2">
      <c r="A78" s="21">
        <v>34</v>
      </c>
      <c r="B78" s="45" t="s">
        <v>418</v>
      </c>
      <c r="C78" s="35">
        <f t="shared" si="4"/>
        <v>42708</v>
      </c>
      <c r="D78" s="39">
        <v>2016</v>
      </c>
      <c r="E78" s="40">
        <v>339</v>
      </c>
      <c r="F78" s="37">
        <v>0.42569444444444399</v>
      </c>
      <c r="G78" s="38">
        <v>0</v>
      </c>
      <c r="H78" s="37">
        <v>0.19791666666666699</v>
      </c>
      <c r="I78" s="35">
        <f t="shared" si="5"/>
        <v>42708</v>
      </c>
      <c r="J78" s="47">
        <v>2016</v>
      </c>
      <c r="K78" s="36">
        <v>339</v>
      </c>
      <c r="L78" s="37">
        <v>0.62361111111111101</v>
      </c>
      <c r="M78" s="43">
        <v>3000</v>
      </c>
      <c r="N78" s="43">
        <v>51.3</v>
      </c>
      <c r="O78" s="43">
        <f>IF(MID(B78,6,7)="NO_DATA",50,IF(N78=0,50,IF(A78="", " ",783)))</f>
        <v>783</v>
      </c>
      <c r="P78" s="44">
        <f t="shared" si="6"/>
        <v>1</v>
      </c>
    </row>
    <row r="79" spans="1:16" x14ac:dyDescent="0.2">
      <c r="A79" s="21"/>
      <c r="B79" s="45" t="s">
        <v>74</v>
      </c>
      <c r="C79" s="35">
        <f t="shared" si="4"/>
        <v>42708</v>
      </c>
      <c r="D79" s="36">
        <f>J78</f>
        <v>2016</v>
      </c>
      <c r="E79" s="36">
        <f>K78</f>
        <v>339</v>
      </c>
      <c r="F79" s="37">
        <f>L78</f>
        <v>0.62361111111111101</v>
      </c>
      <c r="G79" s="38">
        <f>IF((L79-F79)&gt;0,K79-E79,IF((L79-F79)=0,0,K79-E79 -$F$401))</f>
        <v>0</v>
      </c>
      <c r="H79" s="37">
        <f>IF((L79-F79)&gt;0,L79-F79,IF((L79-F79)=0,0,$H$401+L79-F79))</f>
        <v>0</v>
      </c>
      <c r="I79" s="35">
        <f t="shared" si="5"/>
        <v>42708</v>
      </c>
      <c r="J79" s="36">
        <f>D80</f>
        <v>2016</v>
      </c>
      <c r="K79" s="36">
        <f>E80</f>
        <v>339</v>
      </c>
      <c r="L79" s="37">
        <f>F80</f>
        <v>0.62361111111111101</v>
      </c>
      <c r="M79" s="41"/>
      <c r="N79" s="42"/>
      <c r="O79" s="43">
        <f>IF(VALUE(LEFT($O80,3))&lt;192,50,IF(VALUE(LEFT($O80,3))&gt;597,50,VLOOKUP(VLOOKUP(VALUE(LEFT($O80,3)),'CIRS Table Info'!$B$6:$J$425,2,FALSE),'CIRS Table Info'!$B$428:$C$431,2,FALSE)))</f>
        <v>50</v>
      </c>
      <c r="P79" s="44">
        <f t="shared" si="6"/>
        <v>10</v>
      </c>
    </row>
    <row r="80" spans="1:16" x14ac:dyDescent="0.2">
      <c r="A80" s="21">
        <v>35</v>
      </c>
      <c r="B80" s="45" t="s">
        <v>419</v>
      </c>
      <c r="C80" s="35">
        <f t="shared" si="4"/>
        <v>42708</v>
      </c>
      <c r="D80" s="39">
        <v>2016</v>
      </c>
      <c r="E80" s="40">
        <v>339</v>
      </c>
      <c r="F80" s="37">
        <v>0.62361111111111101</v>
      </c>
      <c r="G80" s="38">
        <v>0</v>
      </c>
      <c r="H80" s="37">
        <v>0.17708333333333301</v>
      </c>
      <c r="I80" s="35">
        <f t="shared" si="5"/>
        <v>42708</v>
      </c>
      <c r="J80" s="47">
        <v>2016</v>
      </c>
      <c r="K80" s="36">
        <v>339</v>
      </c>
      <c r="L80" s="37">
        <v>0.80069444444444404</v>
      </c>
      <c r="M80" s="43">
        <v>4000</v>
      </c>
      <c r="N80" s="43">
        <v>61.2</v>
      </c>
      <c r="O80" s="43">
        <f>IF(MID(B80,6,7)="NO_DATA",50,IF(N80=0,50,IF(A80="", " ",784)))</f>
        <v>784</v>
      </c>
      <c r="P80" s="44">
        <f t="shared" si="6"/>
        <v>1</v>
      </c>
    </row>
    <row r="81" spans="1:16" x14ac:dyDescent="0.2">
      <c r="A81" s="21"/>
      <c r="B81" s="45" t="s">
        <v>75</v>
      </c>
      <c r="C81" s="35">
        <f t="shared" si="4"/>
        <v>42708</v>
      </c>
      <c r="D81" s="36">
        <f>J80</f>
        <v>2016</v>
      </c>
      <c r="E81" s="36">
        <f>K80</f>
        <v>339</v>
      </c>
      <c r="F81" s="37">
        <f>L80</f>
        <v>0.80069444444444404</v>
      </c>
      <c r="G81" s="38">
        <f>IF((L81-F81)&gt;0,K81-E81,IF((L81-F81)=0,0,K81-E81 -$F$401))</f>
        <v>0</v>
      </c>
      <c r="H81" s="37">
        <f>IF((L81-F81)&gt;0,L81-F81,IF((L81-F81)=0,0,$H$401+L81-F81))</f>
        <v>4.1666666666666963E-2</v>
      </c>
      <c r="I81" s="35">
        <f t="shared" si="5"/>
        <v>42708</v>
      </c>
      <c r="J81" s="36">
        <f>D82</f>
        <v>2016</v>
      </c>
      <c r="K81" s="36">
        <f>E82</f>
        <v>339</v>
      </c>
      <c r="L81" s="37">
        <f>F82</f>
        <v>0.84236111111111101</v>
      </c>
      <c r="M81" s="41"/>
      <c r="N81" s="42"/>
      <c r="O81" s="43">
        <f>IF(VALUE(LEFT($O82,3))&lt;192,50,IF(VALUE(LEFT($O82,3))&gt;597,50,VLOOKUP(VLOOKUP(VALUE(LEFT($O82,3)),'CIRS Table Info'!$B$6:$J$425,2,FALSE),'CIRS Table Info'!$B$428:$C$431,2,FALSE)))</f>
        <v>50</v>
      </c>
      <c r="P81" s="44">
        <f t="shared" si="6"/>
        <v>10</v>
      </c>
    </row>
    <row r="82" spans="1:16" x14ac:dyDescent="0.2">
      <c r="A82" s="21">
        <v>36</v>
      </c>
      <c r="B82" s="45" t="s">
        <v>422</v>
      </c>
      <c r="C82" s="35">
        <f t="shared" si="4"/>
        <v>42708</v>
      </c>
      <c r="D82" s="39">
        <v>2016</v>
      </c>
      <c r="E82" s="40">
        <v>339</v>
      </c>
      <c r="F82" s="37">
        <v>0.84236111111111101</v>
      </c>
      <c r="G82" s="38">
        <v>0</v>
      </c>
      <c r="H82" s="37">
        <v>0.33333333333333298</v>
      </c>
      <c r="I82" s="35">
        <f t="shared" si="5"/>
        <v>42709</v>
      </c>
      <c r="J82" s="47">
        <v>2016</v>
      </c>
      <c r="K82" s="36">
        <v>340</v>
      </c>
      <c r="L82" s="37">
        <v>0.17569444444444399</v>
      </c>
      <c r="M82" s="43">
        <v>1500</v>
      </c>
      <c r="N82" s="43">
        <v>43.2</v>
      </c>
      <c r="O82" s="43">
        <f>IF(MID(B82,6,7)="NO_DATA",50,IF(N82=0,50,IF(A82="", " ",785)))</f>
        <v>785</v>
      </c>
      <c r="P82" s="44">
        <f t="shared" si="6"/>
        <v>1</v>
      </c>
    </row>
    <row r="83" spans="1:16" x14ac:dyDescent="0.2">
      <c r="A83" s="21"/>
      <c r="B83" s="45" t="s">
        <v>76</v>
      </c>
      <c r="C83" s="35">
        <f t="shared" si="4"/>
        <v>42709</v>
      </c>
      <c r="D83" s="36">
        <f>J82</f>
        <v>2016</v>
      </c>
      <c r="E83" s="36">
        <f>K82</f>
        <v>340</v>
      </c>
      <c r="F83" s="37">
        <f>L82</f>
        <v>0.17569444444444399</v>
      </c>
      <c r="G83" s="38">
        <f>IF((L83-F83)&gt;0,K83-E83,IF((L83-F83)=0,0,K83-E83 -$F$401))</f>
        <v>0</v>
      </c>
      <c r="H83" s="37">
        <f>IF((L83-F83)&gt;0,L83-F83,IF((L83-F83)=0,0,$H$401+L83-F83))</f>
        <v>0.37152777777777807</v>
      </c>
      <c r="I83" s="35">
        <f t="shared" si="5"/>
        <v>42709</v>
      </c>
      <c r="J83" s="36">
        <f>D84</f>
        <v>2016</v>
      </c>
      <c r="K83" s="36">
        <f>E84</f>
        <v>340</v>
      </c>
      <c r="L83" s="37">
        <f>F84</f>
        <v>0.54722222222222205</v>
      </c>
      <c r="M83" s="41"/>
      <c r="N83" s="42"/>
      <c r="O83" s="43">
        <f>IF(VALUE(LEFT($O84,3))&lt;192,50,IF(VALUE(LEFT($O84,3))&gt;597,50,VLOOKUP(VLOOKUP(VALUE(LEFT($O84,3)),'CIRS Table Info'!$B$6:$J$425,2,FALSE),'CIRS Table Info'!$B$428:$C$431,2,FALSE)))</f>
        <v>600</v>
      </c>
      <c r="P83" s="44">
        <f t="shared" si="6"/>
        <v>1</v>
      </c>
    </row>
    <row r="84" spans="1:16" x14ac:dyDescent="0.2">
      <c r="A84" s="21">
        <v>37</v>
      </c>
      <c r="B84" s="45" t="s">
        <v>423</v>
      </c>
      <c r="C84" s="35">
        <f t="shared" si="4"/>
        <v>42709</v>
      </c>
      <c r="D84" s="39">
        <v>2016</v>
      </c>
      <c r="E84" s="40">
        <v>340</v>
      </c>
      <c r="F84" s="37">
        <v>0.54722222222222205</v>
      </c>
      <c r="G84" s="38">
        <v>0</v>
      </c>
      <c r="H84" s="37">
        <v>4.1666666666666699E-2</v>
      </c>
      <c r="I84" s="35">
        <f t="shared" si="5"/>
        <v>42709</v>
      </c>
      <c r="J84" s="47">
        <v>2016</v>
      </c>
      <c r="K84" s="36">
        <v>340</v>
      </c>
      <c r="L84" s="37">
        <v>0.58888888888888902</v>
      </c>
      <c r="M84" s="43">
        <v>400</v>
      </c>
      <c r="N84" s="43">
        <v>1.44</v>
      </c>
      <c r="O84" s="43">
        <v>192</v>
      </c>
      <c r="P84" s="44">
        <f t="shared" si="6"/>
        <v>1</v>
      </c>
    </row>
    <row r="85" spans="1:16" x14ac:dyDescent="0.2">
      <c r="A85" s="21"/>
      <c r="B85" s="45" t="s">
        <v>77</v>
      </c>
      <c r="C85" s="35">
        <f t="shared" si="4"/>
        <v>42709</v>
      </c>
      <c r="D85" s="36">
        <f>J84</f>
        <v>2016</v>
      </c>
      <c r="E85" s="36">
        <f>K84</f>
        <v>340</v>
      </c>
      <c r="F85" s="37">
        <f>L84</f>
        <v>0.58888888888888902</v>
      </c>
      <c r="G85" s="38">
        <f>IF((L85-F85)&gt;0,K85-E85,IF((L85-F85)=0,0,K85-E85 -$F$401))</f>
        <v>0</v>
      </c>
      <c r="H85" s="37">
        <f>IF((L85-F85)&gt;0,L85-F85,IF((L85-F85)=0,0,$H$401+L85-F85))</f>
        <v>0</v>
      </c>
      <c r="I85" s="35">
        <f t="shared" si="5"/>
        <v>42709</v>
      </c>
      <c r="J85" s="36">
        <f>D86</f>
        <v>2016</v>
      </c>
      <c r="K85" s="36">
        <f>E86</f>
        <v>340</v>
      </c>
      <c r="L85" s="37">
        <f>F86</f>
        <v>0.58888888888888902</v>
      </c>
      <c r="M85" s="41"/>
      <c r="N85" s="42"/>
      <c r="O85" s="43">
        <f>IF(VALUE(LEFT($O86,3))&lt;192,50,IF(VALUE(LEFT($O86,3))&gt;597,50,VLOOKUP(VLOOKUP(VALUE(LEFT($O86,3)),'CIRS Table Info'!$B$6:$J$425,2,FALSE),'CIRS Table Info'!$B$428:$C$431,2,FALSE)))</f>
        <v>602</v>
      </c>
      <c r="P85" s="44">
        <f t="shared" si="6"/>
        <v>1</v>
      </c>
    </row>
    <row r="86" spans="1:16" x14ac:dyDescent="0.2">
      <c r="A86" s="21">
        <v>38</v>
      </c>
      <c r="B86" s="45" t="s">
        <v>424</v>
      </c>
      <c r="C86" s="35">
        <f t="shared" si="4"/>
        <v>42709</v>
      </c>
      <c r="D86" s="39">
        <v>2016</v>
      </c>
      <c r="E86" s="40">
        <v>340</v>
      </c>
      <c r="F86" s="37">
        <v>0.58888888888888902</v>
      </c>
      <c r="G86" s="38">
        <v>0</v>
      </c>
      <c r="H86" s="37">
        <v>0.16666666666666699</v>
      </c>
      <c r="I86" s="35">
        <f t="shared" si="5"/>
        <v>42709</v>
      </c>
      <c r="J86" s="47">
        <v>2016</v>
      </c>
      <c r="K86" s="36">
        <v>340</v>
      </c>
      <c r="L86" s="37">
        <v>0.75555555555555598</v>
      </c>
      <c r="M86" s="43">
        <v>4000</v>
      </c>
      <c r="N86" s="43">
        <v>57.6</v>
      </c>
      <c r="O86" s="471" t="s">
        <v>641</v>
      </c>
      <c r="P86" s="472" t="s">
        <v>639</v>
      </c>
    </row>
    <row r="87" spans="1:16" x14ac:dyDescent="0.2">
      <c r="A87" s="21"/>
      <c r="B87" s="45" t="s">
        <v>78</v>
      </c>
      <c r="C87" s="35">
        <f t="shared" si="4"/>
        <v>42709</v>
      </c>
      <c r="D87" s="36">
        <f>J86</f>
        <v>2016</v>
      </c>
      <c r="E87" s="36">
        <f>K86</f>
        <v>340</v>
      </c>
      <c r="F87" s="37">
        <f>L86</f>
        <v>0.75555555555555598</v>
      </c>
      <c r="G87" s="38">
        <f>IF((L87-F87)&gt;0,K87-E87,IF((L87-F87)=0,0,K87-E87 -$F$401))</f>
        <v>0</v>
      </c>
      <c r="H87" s="37">
        <f>IF((L87-F87)&gt;0,L87-F87,IF((L87-F87)=0,0,$H$401+L87-F87))</f>
        <v>0.12361111111111101</v>
      </c>
      <c r="I87" s="35">
        <f t="shared" si="5"/>
        <v>42709</v>
      </c>
      <c r="J87" s="36">
        <f>D88</f>
        <v>2016</v>
      </c>
      <c r="K87" s="36">
        <f>E88</f>
        <v>340</v>
      </c>
      <c r="L87" s="37">
        <f>F88</f>
        <v>0.87916666666666698</v>
      </c>
      <c r="M87" s="41"/>
      <c r="N87" s="42"/>
      <c r="O87" s="43">
        <f>IF(VALUE(LEFT($O88,3))&lt;192,50,IF(VALUE(LEFT($O88,3))&gt;597,50,VLOOKUP(VLOOKUP(VALUE(LEFT($O88,3)),'CIRS Table Info'!$B$6:$J$425,2,FALSE),'CIRS Table Info'!$B$428:$C$431,2,FALSE)))</f>
        <v>50</v>
      </c>
      <c r="P87" s="44">
        <f>IF(O87=50,10,1)</f>
        <v>10</v>
      </c>
    </row>
    <row r="88" spans="1:16" x14ac:dyDescent="0.2">
      <c r="A88" s="21">
        <v>39</v>
      </c>
      <c r="B88" s="45" t="s">
        <v>430</v>
      </c>
      <c r="C88" s="35">
        <f t="shared" si="4"/>
        <v>42709</v>
      </c>
      <c r="D88" s="39">
        <v>2016</v>
      </c>
      <c r="E88" s="40">
        <v>340</v>
      </c>
      <c r="F88" s="37">
        <v>0.87916666666666698</v>
      </c>
      <c r="G88" s="38">
        <v>0</v>
      </c>
      <c r="H88" s="37">
        <v>0.33333333333333298</v>
      </c>
      <c r="I88" s="35">
        <f t="shared" si="5"/>
        <v>42710</v>
      </c>
      <c r="J88" s="47">
        <v>2016</v>
      </c>
      <c r="K88" s="36">
        <v>341</v>
      </c>
      <c r="L88" s="37">
        <v>0.21249999999999999</v>
      </c>
      <c r="M88" s="43">
        <v>3000</v>
      </c>
      <c r="N88" s="43">
        <v>86.4</v>
      </c>
      <c r="O88" s="43">
        <f>IF(MID(B88,6,7)="NO_DATA",50,IF(N88=0,50,IF(A88="", " ",788)))</f>
        <v>788</v>
      </c>
      <c r="P88" s="44">
        <f>IF(O88=50,10,1)</f>
        <v>1</v>
      </c>
    </row>
    <row r="89" spans="1:16" x14ac:dyDescent="0.2">
      <c r="A89" s="21"/>
      <c r="B89" s="45" t="s">
        <v>79</v>
      </c>
      <c r="C89" s="35">
        <f t="shared" si="4"/>
        <v>42710</v>
      </c>
      <c r="D89" s="36">
        <f>J88</f>
        <v>2016</v>
      </c>
      <c r="E89" s="36">
        <f>K88</f>
        <v>341</v>
      </c>
      <c r="F89" s="37">
        <f>L88</f>
        <v>0.21249999999999999</v>
      </c>
      <c r="G89" s="38">
        <f>IF((L89-F89)&gt;0,K89-E89,IF((L89-F89)=0,0,K89-E89 -$F$401))</f>
        <v>0</v>
      </c>
      <c r="H89" s="37">
        <f>IF((L89-F89)&gt;0,L89-F89,IF((L89-F89)=0,0,$H$401+L89-F89))</f>
        <v>9.0277777777777984E-2</v>
      </c>
      <c r="I89" s="35">
        <f t="shared" si="5"/>
        <v>42710</v>
      </c>
      <c r="J89" s="36">
        <f>D90</f>
        <v>2016</v>
      </c>
      <c r="K89" s="36">
        <f>E90</f>
        <v>341</v>
      </c>
      <c r="L89" s="37">
        <f>F90</f>
        <v>0.30277777777777798</v>
      </c>
      <c r="M89" s="41"/>
      <c r="N89" s="42"/>
      <c r="O89" s="43">
        <f>IF(VALUE(LEFT($O90,3))&lt;192,50,IF(VALUE(LEFT($O90,3))&gt;597,50,VLOOKUP(VLOOKUP(VALUE(LEFT($O90,3)),'CIRS Table Info'!$B$6:$J$425,2,FALSE),'CIRS Table Info'!$B$428:$C$431,2,FALSE)))</f>
        <v>600</v>
      </c>
      <c r="P89" s="44">
        <f>IF(O89=50,10,1)</f>
        <v>1</v>
      </c>
    </row>
    <row r="90" spans="1:16" x14ac:dyDescent="0.2">
      <c r="A90" s="21">
        <v>40</v>
      </c>
      <c r="B90" s="45" t="s">
        <v>431</v>
      </c>
      <c r="C90" s="35">
        <f t="shared" si="4"/>
        <v>42710</v>
      </c>
      <c r="D90" s="39">
        <v>2016</v>
      </c>
      <c r="E90" s="40">
        <v>341</v>
      </c>
      <c r="F90" s="37">
        <v>0.30277777777777798</v>
      </c>
      <c r="G90" s="38">
        <v>0</v>
      </c>
      <c r="H90" s="37">
        <v>0.375</v>
      </c>
      <c r="I90" s="35">
        <f t="shared" si="5"/>
        <v>42710</v>
      </c>
      <c r="J90" s="47">
        <v>2016</v>
      </c>
      <c r="K90" s="36">
        <v>341</v>
      </c>
      <c r="L90" s="37">
        <v>0.67777777777777803</v>
      </c>
      <c r="M90" s="43">
        <v>4000</v>
      </c>
      <c r="N90" s="43">
        <v>129.6</v>
      </c>
      <c r="O90" s="43">
        <v>405</v>
      </c>
      <c r="P90" s="44">
        <v>4</v>
      </c>
    </row>
    <row r="91" spans="1:16" x14ac:dyDescent="0.2">
      <c r="A91" s="21"/>
      <c r="B91" s="45" t="s">
        <v>80</v>
      </c>
      <c r="C91" s="35">
        <f t="shared" si="4"/>
        <v>42710</v>
      </c>
      <c r="D91" s="36">
        <f>J90</f>
        <v>2016</v>
      </c>
      <c r="E91" s="36">
        <f>K90</f>
        <v>341</v>
      </c>
      <c r="F91" s="37">
        <f>L90</f>
        <v>0.67777777777777803</v>
      </c>
      <c r="G91" s="38">
        <f>IF((L91-F91)&gt;0,K91-E91,IF((L91-F91)=0,0,K91-E91 -$F$401))</f>
        <v>0</v>
      </c>
      <c r="H91" s="37">
        <f>IF((L91-F91)&gt;0,L91-F91,IF((L91-F91)=0,0,$H$401+L91-F91))</f>
        <v>0.19444444444444398</v>
      </c>
      <c r="I91" s="35">
        <f t="shared" si="5"/>
        <v>42710</v>
      </c>
      <c r="J91" s="36">
        <f>D92</f>
        <v>2016</v>
      </c>
      <c r="K91" s="36">
        <f>E92</f>
        <v>341</v>
      </c>
      <c r="L91" s="37">
        <f>F92</f>
        <v>0.87222222222222201</v>
      </c>
      <c r="M91" s="41"/>
      <c r="N91" s="42"/>
      <c r="O91" s="43">
        <f>IF(VALUE(LEFT($O92,3))&lt;192,50,IF(VALUE(LEFT($O92,3))&gt;597,50,VLOOKUP(VLOOKUP(VALUE(LEFT($O92,3)),'CIRS Table Info'!$B$6:$J$425,2,FALSE),'CIRS Table Info'!$B$428:$C$431,2,FALSE)))</f>
        <v>50</v>
      </c>
      <c r="P91" s="44">
        <f t="shared" ref="P91:P101" si="7">IF(O91=50,10,1)</f>
        <v>10</v>
      </c>
    </row>
    <row r="92" spans="1:16" x14ac:dyDescent="0.2">
      <c r="A92" s="21">
        <v>41</v>
      </c>
      <c r="B92" s="45" t="s">
        <v>432</v>
      </c>
      <c r="C92" s="35">
        <f t="shared" si="4"/>
        <v>42710</v>
      </c>
      <c r="D92" s="39">
        <v>2016</v>
      </c>
      <c r="E92" s="40">
        <v>341</v>
      </c>
      <c r="F92" s="37">
        <v>0.87222222222222201</v>
      </c>
      <c r="G92" s="38">
        <v>0</v>
      </c>
      <c r="H92" s="37">
        <v>0.33333333333333298</v>
      </c>
      <c r="I92" s="35">
        <f t="shared" si="5"/>
        <v>42711</v>
      </c>
      <c r="J92" s="47">
        <v>2016</v>
      </c>
      <c r="K92" s="36">
        <v>342</v>
      </c>
      <c r="L92" s="37">
        <v>0.20555555555555599</v>
      </c>
      <c r="M92" s="43">
        <v>3000</v>
      </c>
      <c r="N92" s="43">
        <v>86.4</v>
      </c>
      <c r="O92" s="43">
        <f>IF(MID(B92,6,7)="NO_DATA",50,IF(N92=0,50,IF(A92="", " ",790)))</f>
        <v>790</v>
      </c>
      <c r="P92" s="44">
        <f t="shared" si="7"/>
        <v>1</v>
      </c>
    </row>
    <row r="93" spans="1:16" x14ac:dyDescent="0.2">
      <c r="A93" s="21"/>
      <c r="B93" s="45" t="s">
        <v>81</v>
      </c>
      <c r="C93" s="35">
        <f t="shared" si="4"/>
        <v>42711</v>
      </c>
      <c r="D93" s="36">
        <f>J92</f>
        <v>2016</v>
      </c>
      <c r="E93" s="36">
        <f>K92</f>
        <v>342</v>
      </c>
      <c r="F93" s="37">
        <f>L92</f>
        <v>0.20555555555555599</v>
      </c>
      <c r="G93" s="38">
        <f>IF((L93-F93)&gt;0,K93-E93,IF((L93-F93)=0,0,K93-E93 -$F$401))</f>
        <v>0</v>
      </c>
      <c r="H93" s="37">
        <f>IF((L93-F93)&gt;0,L93-F93,IF((L93-F93)=0,0,$H$401+L93-F93))</f>
        <v>0.67361111111111094</v>
      </c>
      <c r="I93" s="35">
        <f t="shared" si="5"/>
        <v>42711</v>
      </c>
      <c r="J93" s="36">
        <f>D94</f>
        <v>2016</v>
      </c>
      <c r="K93" s="36">
        <f>E94</f>
        <v>342</v>
      </c>
      <c r="L93" s="37">
        <f>F94</f>
        <v>0.87916666666666698</v>
      </c>
      <c r="M93" s="41"/>
      <c r="N93" s="42"/>
      <c r="O93" s="43">
        <f>IF(VALUE(LEFT($O94,3))&lt;192,50,IF(VALUE(LEFT($O94,3))&gt;597,50,VLOOKUP(VLOOKUP(VALUE(LEFT($O94,3)),'CIRS Table Info'!$B$6:$J$425,2,FALSE),'CIRS Table Info'!$B$428:$C$431,2,FALSE)))</f>
        <v>50</v>
      </c>
      <c r="P93" s="44">
        <f t="shared" si="7"/>
        <v>10</v>
      </c>
    </row>
    <row r="94" spans="1:16" x14ac:dyDescent="0.2">
      <c r="A94" s="21">
        <v>42</v>
      </c>
      <c r="B94" s="45" t="s">
        <v>433</v>
      </c>
      <c r="C94" s="35">
        <f t="shared" si="4"/>
        <v>42711</v>
      </c>
      <c r="D94" s="39">
        <v>2016</v>
      </c>
      <c r="E94" s="40">
        <v>342</v>
      </c>
      <c r="F94" s="37">
        <v>0.87916666666666698</v>
      </c>
      <c r="G94" s="38">
        <v>0</v>
      </c>
      <c r="H94" s="37">
        <v>0.33333333333333298</v>
      </c>
      <c r="I94" s="35">
        <f t="shared" si="5"/>
        <v>42712</v>
      </c>
      <c r="J94" s="47">
        <v>2016</v>
      </c>
      <c r="K94" s="36">
        <v>343</v>
      </c>
      <c r="L94" s="37">
        <v>0.21249999999999999</v>
      </c>
      <c r="M94" s="43">
        <v>1500</v>
      </c>
      <c r="N94" s="43">
        <v>43.2</v>
      </c>
      <c r="O94" s="43">
        <f>IF(MID(B94,6,7)="NO_DATA",50,IF(N94=0,50,IF(A94="", " ",791)))</f>
        <v>791</v>
      </c>
      <c r="P94" s="44">
        <f t="shared" si="7"/>
        <v>1</v>
      </c>
    </row>
    <row r="95" spans="1:16" x14ac:dyDescent="0.2">
      <c r="A95" s="21"/>
      <c r="B95" s="45" t="s">
        <v>82</v>
      </c>
      <c r="C95" s="35">
        <f t="shared" si="4"/>
        <v>42712</v>
      </c>
      <c r="D95" s="36">
        <f>J94</f>
        <v>2016</v>
      </c>
      <c r="E95" s="36">
        <f>K94</f>
        <v>343</v>
      </c>
      <c r="F95" s="37">
        <f>L94</f>
        <v>0.21249999999999999</v>
      </c>
      <c r="G95" s="38">
        <f>IF((L95-F95)&gt;0,K95-E95,IF((L95-F95)=0,0,K95-E95 -$F$401))</f>
        <v>5</v>
      </c>
      <c r="H95" s="37">
        <f>IF((L95-F95)&gt;0,L95-F95,IF((L95-F95)=0,0,$H$401+L95-F95))</f>
        <v>0.65069444444444402</v>
      </c>
      <c r="I95" s="35">
        <f t="shared" si="5"/>
        <v>42717</v>
      </c>
      <c r="J95" s="36">
        <f>D96</f>
        <v>2016</v>
      </c>
      <c r="K95" s="36">
        <f>E96</f>
        <v>348</v>
      </c>
      <c r="L95" s="37">
        <f>F96</f>
        <v>0.86319444444444404</v>
      </c>
      <c r="M95" s="41"/>
      <c r="N95" s="42"/>
      <c r="O95" s="43">
        <f>IF(VALUE(LEFT($O96,3))&lt;192,50,IF(VALUE(LEFT($O96,3))&gt;597,50,VLOOKUP(VLOOKUP(VALUE(LEFT($O96,3)),'CIRS Table Info'!$B$6:$J$425,2,FALSE),'CIRS Table Info'!$B$428:$C$431,2,FALSE)))</f>
        <v>50</v>
      </c>
      <c r="P95" s="44">
        <f t="shared" si="7"/>
        <v>10</v>
      </c>
    </row>
    <row r="96" spans="1:16" x14ac:dyDescent="0.2">
      <c r="A96" s="21">
        <v>43</v>
      </c>
      <c r="B96" s="45" t="s">
        <v>434</v>
      </c>
      <c r="C96" s="35">
        <f t="shared" si="4"/>
        <v>42717</v>
      </c>
      <c r="D96" s="39">
        <v>2016</v>
      </c>
      <c r="E96" s="40">
        <v>348</v>
      </c>
      <c r="F96" s="37">
        <v>0.86319444444444404</v>
      </c>
      <c r="G96" s="38">
        <v>0</v>
      </c>
      <c r="H96" s="37">
        <v>0.33333333333333298</v>
      </c>
      <c r="I96" s="35">
        <f t="shared" si="5"/>
        <v>42718</v>
      </c>
      <c r="J96" s="47">
        <v>2016</v>
      </c>
      <c r="K96" s="36">
        <v>349</v>
      </c>
      <c r="L96" s="37">
        <v>0.196527777777778</v>
      </c>
      <c r="M96" s="43">
        <v>1500</v>
      </c>
      <c r="N96" s="43">
        <v>43.2</v>
      </c>
      <c r="O96" s="43">
        <f>IF(MID(B96,6,7)="NO_DATA",50,IF(N96=0,50,IF(A96="", " ",792)))</f>
        <v>792</v>
      </c>
      <c r="P96" s="44">
        <f t="shared" si="7"/>
        <v>1</v>
      </c>
    </row>
    <row r="97" spans="1:17" x14ac:dyDescent="0.2">
      <c r="A97" s="21"/>
      <c r="B97" s="45" t="s">
        <v>83</v>
      </c>
      <c r="C97" s="35">
        <f t="shared" si="4"/>
        <v>42718</v>
      </c>
      <c r="D97" s="36">
        <f>J96</f>
        <v>2016</v>
      </c>
      <c r="E97" s="36">
        <f>K96</f>
        <v>349</v>
      </c>
      <c r="F97" s="37">
        <f>L96</f>
        <v>0.196527777777778</v>
      </c>
      <c r="G97" s="38">
        <f>IF((L97-F97)&gt;0,K97-E97,IF((L97-F97)=0,0,K97-E97 -$F$401))</f>
        <v>0</v>
      </c>
      <c r="H97" s="37">
        <f>IF((L97-F97)&gt;0,L97-F97,IF((L97-F97)=0,0,$H$401+L97-F97))</f>
        <v>0.66180555555555498</v>
      </c>
      <c r="I97" s="35">
        <f t="shared" si="5"/>
        <v>42718</v>
      </c>
      <c r="J97" s="36">
        <f>D98</f>
        <v>2016</v>
      </c>
      <c r="K97" s="36">
        <f>E98</f>
        <v>349</v>
      </c>
      <c r="L97" s="37">
        <f>F98</f>
        <v>0.85833333333333295</v>
      </c>
      <c r="M97" s="41"/>
      <c r="N97" s="42"/>
      <c r="O97" s="43">
        <f>IF(VALUE(LEFT($O98,3))&lt;192,50,IF(VALUE(LEFT($O98,3))&gt;597,50,VLOOKUP(VLOOKUP(VALUE(LEFT($O98,3)),'CIRS Table Info'!$B$6:$J$425,2,FALSE),'CIRS Table Info'!$B$428:$C$431,2,FALSE)))</f>
        <v>50</v>
      </c>
      <c r="P97" s="44">
        <f t="shared" si="7"/>
        <v>10</v>
      </c>
    </row>
    <row r="98" spans="1:17" x14ac:dyDescent="0.2">
      <c r="A98" s="21">
        <v>44</v>
      </c>
      <c r="B98" s="45" t="s">
        <v>435</v>
      </c>
      <c r="C98" s="35">
        <f t="shared" si="4"/>
        <v>42718</v>
      </c>
      <c r="D98" s="39">
        <v>2016</v>
      </c>
      <c r="E98" s="40">
        <v>349</v>
      </c>
      <c r="F98" s="37">
        <v>0.85833333333333295</v>
      </c>
      <c r="G98" s="38">
        <v>0</v>
      </c>
      <c r="H98" s="37">
        <v>0.33333333333333298</v>
      </c>
      <c r="I98" s="35">
        <f t="shared" si="5"/>
        <v>42719</v>
      </c>
      <c r="J98" s="47">
        <v>2016</v>
      </c>
      <c r="K98" s="36">
        <v>350</v>
      </c>
      <c r="L98" s="37">
        <v>0.19166666666666701</v>
      </c>
      <c r="M98" s="43">
        <v>3000</v>
      </c>
      <c r="N98" s="43">
        <v>86.4</v>
      </c>
      <c r="O98" s="43">
        <f>IF(MID(B98,6,7)="NO_DATA",50,IF(N98=0,50,IF(A98="", " ",793)))</f>
        <v>793</v>
      </c>
      <c r="P98" s="44">
        <f t="shared" si="7"/>
        <v>1</v>
      </c>
    </row>
    <row r="99" spans="1:17" x14ac:dyDescent="0.2">
      <c r="A99" s="21"/>
      <c r="B99" s="45" t="s">
        <v>84</v>
      </c>
      <c r="C99" s="35">
        <f t="shared" si="4"/>
        <v>42719</v>
      </c>
      <c r="D99" s="36">
        <f>J98</f>
        <v>2016</v>
      </c>
      <c r="E99" s="36">
        <f>K98</f>
        <v>350</v>
      </c>
      <c r="F99" s="37">
        <f>L98</f>
        <v>0.19166666666666701</v>
      </c>
      <c r="G99" s="38">
        <f>IF((L99-F99)&gt;0,K99-E99,IF((L99-F99)=0,0,K99-E99 -$F$401))</f>
        <v>0</v>
      </c>
      <c r="H99" s="37">
        <f>IF((L99-F99)&gt;0,L99-F99,IF((L99-F99)=0,0,$H$401+L99-F99))</f>
        <v>6.9444444444444003E-2</v>
      </c>
      <c r="I99" s="35">
        <f t="shared" si="5"/>
        <v>42719</v>
      </c>
      <c r="J99" s="36">
        <f>D100</f>
        <v>2016</v>
      </c>
      <c r="K99" s="36">
        <f>E100</f>
        <v>350</v>
      </c>
      <c r="L99" s="37">
        <f>F100</f>
        <v>0.26111111111111102</v>
      </c>
      <c r="M99" s="41"/>
      <c r="N99" s="42"/>
      <c r="O99" s="43">
        <f>IF(VALUE(LEFT($O100,3))&lt;192,50,IF(VALUE(LEFT($O100,3))&gt;597,50,VLOOKUP(VLOOKUP(VALUE(LEFT($O100,3)),'CIRS Table Info'!$B$6:$J$425,2,FALSE),'CIRS Table Info'!$B$428:$C$431,2,FALSE)))</f>
        <v>606</v>
      </c>
      <c r="P99" s="44">
        <f t="shared" si="7"/>
        <v>1</v>
      </c>
    </row>
    <row r="100" spans="1:17" x14ac:dyDescent="0.2">
      <c r="A100" s="21">
        <v>45</v>
      </c>
      <c r="B100" s="45" t="s">
        <v>436</v>
      </c>
      <c r="C100" s="35">
        <f t="shared" si="4"/>
        <v>42719</v>
      </c>
      <c r="D100" s="39">
        <v>2016</v>
      </c>
      <c r="E100" s="40">
        <v>350</v>
      </c>
      <c r="F100" s="37">
        <v>0.26111111111111102</v>
      </c>
      <c r="G100" s="38">
        <v>0</v>
      </c>
      <c r="H100" s="37">
        <v>0.16666666666666699</v>
      </c>
      <c r="I100" s="35">
        <f t="shared" si="5"/>
        <v>42719</v>
      </c>
      <c r="J100" s="47">
        <v>2016</v>
      </c>
      <c r="K100" s="36">
        <v>350</v>
      </c>
      <c r="L100" s="37">
        <v>0.42777777777777798</v>
      </c>
      <c r="M100" s="43">
        <v>3600</v>
      </c>
      <c r="N100" s="43">
        <v>51.84</v>
      </c>
      <c r="O100" s="43">
        <v>541</v>
      </c>
      <c r="P100" s="44">
        <f t="shared" si="7"/>
        <v>1</v>
      </c>
    </row>
    <row r="101" spans="1:17" x14ac:dyDescent="0.2">
      <c r="A101" s="21"/>
      <c r="B101" s="45" t="s">
        <v>85</v>
      </c>
      <c r="C101" s="35">
        <f t="shared" si="4"/>
        <v>42719</v>
      </c>
      <c r="D101" s="36">
        <f>J100</f>
        <v>2016</v>
      </c>
      <c r="E101" s="36">
        <f>K100</f>
        <v>350</v>
      </c>
      <c r="F101" s="37">
        <f>L100</f>
        <v>0.42777777777777798</v>
      </c>
      <c r="G101" s="38">
        <f>IF((L101-F101)&gt;0,K101-E101,IF((L101-F101)=0,0,K101-E101 -$F$401))</f>
        <v>0</v>
      </c>
      <c r="H101" s="37">
        <f>IF((L101-F101)&gt;0,L101-F101,IF((L101-F101)=0,0,$H$401+L101-F101))</f>
        <v>0</v>
      </c>
      <c r="I101" s="35">
        <f t="shared" si="5"/>
        <v>42719</v>
      </c>
      <c r="J101" s="36">
        <f>D102</f>
        <v>2016</v>
      </c>
      <c r="K101" s="36">
        <f>E102</f>
        <v>350</v>
      </c>
      <c r="L101" s="37">
        <f>F102</f>
        <v>0.42777777777777798</v>
      </c>
      <c r="M101" s="41"/>
      <c r="N101" s="42"/>
      <c r="O101" s="43">
        <f>IF(VALUE(LEFT($O102,3))&lt;192,50,IF(VALUE(LEFT($O102,3))&gt;597,50,VLOOKUP(VLOOKUP(VALUE(LEFT($O102,3)),'CIRS Table Info'!$B$6:$J$425,2,FALSE),'CIRS Table Info'!$B$428:$C$431,2,FALSE)))</f>
        <v>602</v>
      </c>
      <c r="P101" s="44">
        <f t="shared" si="7"/>
        <v>1</v>
      </c>
    </row>
    <row r="102" spans="1:17" x14ac:dyDescent="0.2">
      <c r="A102" s="21">
        <v>46</v>
      </c>
      <c r="B102" s="45" t="s">
        <v>439</v>
      </c>
      <c r="C102" s="35">
        <f t="shared" si="4"/>
        <v>42719</v>
      </c>
      <c r="D102" s="39">
        <v>2016</v>
      </c>
      <c r="E102" s="40">
        <v>350</v>
      </c>
      <c r="F102" s="37">
        <v>0.42777777777777798</v>
      </c>
      <c r="G102" s="38">
        <v>0</v>
      </c>
      <c r="H102" s="37">
        <v>0.25347222222222199</v>
      </c>
      <c r="I102" s="35">
        <f t="shared" si="5"/>
        <v>42719</v>
      </c>
      <c r="J102" s="47">
        <v>2016</v>
      </c>
      <c r="K102" s="36">
        <v>350</v>
      </c>
      <c r="L102" s="37">
        <v>0.68125000000000002</v>
      </c>
      <c r="M102" s="43">
        <v>3600</v>
      </c>
      <c r="N102" s="43">
        <v>78.84</v>
      </c>
      <c r="O102" s="43">
        <v>467</v>
      </c>
      <c r="P102" s="44">
        <v>2</v>
      </c>
    </row>
    <row r="103" spans="1:17" x14ac:dyDescent="0.2">
      <c r="A103" s="21"/>
      <c r="B103" s="45" t="s">
        <v>86</v>
      </c>
      <c r="C103" s="35">
        <f t="shared" si="4"/>
        <v>42719</v>
      </c>
      <c r="D103" s="36">
        <f>J102</f>
        <v>2016</v>
      </c>
      <c r="E103" s="36">
        <f>K102</f>
        <v>350</v>
      </c>
      <c r="F103" s="37">
        <f>L102</f>
        <v>0.68125000000000002</v>
      </c>
      <c r="G103" s="38">
        <f>IF((L103-F103)&gt;0,K103-E103,IF((L103-F103)=0,0,K103-E103 -$F$401))</f>
        <v>0</v>
      </c>
      <c r="H103" s="37">
        <f>IF((L103-F103)&gt;0,L103-F103,IF((L103-F103)=0,0,$H$401+L103-F103))</f>
        <v>0</v>
      </c>
      <c r="I103" s="35">
        <f t="shared" si="5"/>
        <v>42719</v>
      </c>
      <c r="J103" s="36">
        <f>D104</f>
        <v>2016</v>
      </c>
      <c r="K103" s="36">
        <f>E104</f>
        <v>350</v>
      </c>
      <c r="L103" s="37">
        <f>F104</f>
        <v>0.68125000000000002</v>
      </c>
      <c r="M103" s="41"/>
      <c r="N103" s="42"/>
      <c r="O103" s="43">
        <f>IF(VALUE(LEFT($O104,3))&lt;192,50,IF(VALUE(LEFT($O104,3))&gt;597,50,VLOOKUP(VLOOKUP(VALUE(LEFT($O104,3)),'CIRS Table Info'!$B$6:$J$425,2,FALSE),'CIRS Table Info'!$B$428:$C$431,2,FALSE)))</f>
        <v>606</v>
      </c>
      <c r="P103" s="44">
        <f t="shared" ref="P103:P109" si="8">IF(O103=50,10,1)</f>
        <v>1</v>
      </c>
    </row>
    <row r="104" spans="1:17" x14ac:dyDescent="0.2">
      <c r="A104" s="21">
        <v>47</v>
      </c>
      <c r="B104" s="45" t="s">
        <v>441</v>
      </c>
      <c r="C104" s="35">
        <f t="shared" si="4"/>
        <v>42719</v>
      </c>
      <c r="D104" s="39">
        <v>2016</v>
      </c>
      <c r="E104" s="40">
        <v>350</v>
      </c>
      <c r="F104" s="37">
        <v>0.68125000000000002</v>
      </c>
      <c r="G104" s="38">
        <v>0</v>
      </c>
      <c r="H104" s="37">
        <v>4.1666666666666699E-2</v>
      </c>
      <c r="I104" s="35">
        <f t="shared" si="5"/>
        <v>42719</v>
      </c>
      <c r="J104" s="47">
        <v>2016</v>
      </c>
      <c r="K104" s="36">
        <v>350</v>
      </c>
      <c r="L104" s="37">
        <v>0.72291666666666698</v>
      </c>
      <c r="M104" s="43">
        <v>3600</v>
      </c>
      <c r="N104" s="43">
        <v>12.96</v>
      </c>
      <c r="O104" s="43">
        <v>491</v>
      </c>
      <c r="P104" s="44">
        <f t="shared" si="8"/>
        <v>1</v>
      </c>
    </row>
    <row r="105" spans="1:17" x14ac:dyDescent="0.2">
      <c r="A105" s="21"/>
      <c r="B105" s="45" t="s">
        <v>87</v>
      </c>
      <c r="C105" s="35">
        <f t="shared" si="4"/>
        <v>42719</v>
      </c>
      <c r="D105" s="36">
        <f>J104</f>
        <v>2016</v>
      </c>
      <c r="E105" s="36">
        <f>K104</f>
        <v>350</v>
      </c>
      <c r="F105" s="37">
        <f>L104</f>
        <v>0.72291666666666698</v>
      </c>
      <c r="G105" s="38">
        <f>IF((L105-F105)&gt;0,K105-E105,IF((L105-F105)=0,0,K105-E105 -$F$401))</f>
        <v>0</v>
      </c>
      <c r="H105" s="37">
        <f>IF((L105-F105)&gt;0,L105-F105,IF((L105-F105)=0,0,$H$401+L105-F105))</f>
        <v>0</v>
      </c>
      <c r="I105" s="35">
        <f t="shared" si="5"/>
        <v>42719</v>
      </c>
      <c r="J105" s="36">
        <f>D106</f>
        <v>2016</v>
      </c>
      <c r="K105" s="36">
        <f>E106</f>
        <v>350</v>
      </c>
      <c r="L105" s="37">
        <f>F106</f>
        <v>0.72291666666666698</v>
      </c>
      <c r="M105" s="41"/>
      <c r="N105" s="42"/>
      <c r="O105" s="43">
        <f>IF(VALUE(LEFT($O106,3))&lt;192,50,IF(VALUE(LEFT($O106,3))&gt;597,50,VLOOKUP(VLOOKUP(VALUE(LEFT($O106,3)),'CIRS Table Info'!$B$6:$J$425,2,FALSE),'CIRS Table Info'!$B$428:$C$431,2,FALSE)))</f>
        <v>606</v>
      </c>
      <c r="P105" s="44">
        <f t="shared" si="8"/>
        <v>1</v>
      </c>
    </row>
    <row r="106" spans="1:17" x14ac:dyDescent="0.2">
      <c r="A106" s="21">
        <v>48</v>
      </c>
      <c r="B106" s="45" t="s">
        <v>442</v>
      </c>
      <c r="C106" s="35">
        <f t="shared" si="4"/>
        <v>42719</v>
      </c>
      <c r="D106" s="39">
        <v>2016</v>
      </c>
      <c r="E106" s="40">
        <v>350</v>
      </c>
      <c r="F106" s="37">
        <v>0.72291666666666698</v>
      </c>
      <c r="G106" s="38">
        <v>0</v>
      </c>
      <c r="H106" s="37">
        <v>0.16666666666666699</v>
      </c>
      <c r="I106" s="35">
        <f t="shared" si="5"/>
        <v>42719</v>
      </c>
      <c r="J106" s="47">
        <v>2016</v>
      </c>
      <c r="K106" s="36">
        <v>350</v>
      </c>
      <c r="L106" s="37">
        <v>0.88958333333333295</v>
      </c>
      <c r="M106" s="43">
        <v>3600</v>
      </c>
      <c r="N106" s="43">
        <v>51.84</v>
      </c>
      <c r="O106" s="43">
        <v>541</v>
      </c>
      <c r="P106" s="44">
        <f t="shared" si="8"/>
        <v>1</v>
      </c>
    </row>
    <row r="107" spans="1:17" x14ac:dyDescent="0.2">
      <c r="A107" s="21"/>
      <c r="B107" s="45" t="s">
        <v>88</v>
      </c>
      <c r="C107" s="35">
        <f t="shared" si="4"/>
        <v>42719</v>
      </c>
      <c r="D107" s="36">
        <f>J106</f>
        <v>2016</v>
      </c>
      <c r="E107" s="36">
        <f>K106</f>
        <v>350</v>
      </c>
      <c r="F107" s="37">
        <f>L106</f>
        <v>0.88958333333333295</v>
      </c>
      <c r="G107" s="38">
        <f>IF((L107-F107)&gt;0,K107-E107,IF((L107-F107)=0,0,K107-E107 -$F$401))</f>
        <v>0</v>
      </c>
      <c r="H107" s="37">
        <f>IF((L107-F107)&gt;0,L107-F107,IF((L107-F107)=0,0,$H$401+L107-F107))</f>
        <v>0</v>
      </c>
      <c r="I107" s="35">
        <f t="shared" si="5"/>
        <v>42719</v>
      </c>
      <c r="J107" s="36">
        <f>D108</f>
        <v>2016</v>
      </c>
      <c r="K107" s="36">
        <f>E108</f>
        <v>350</v>
      </c>
      <c r="L107" s="37">
        <f>F108</f>
        <v>0.88958333333333295</v>
      </c>
      <c r="M107" s="41"/>
      <c r="N107" s="42"/>
      <c r="O107" s="43">
        <f>IF(VALUE(LEFT($O108,3))&lt;192,50,IF(VALUE(LEFT($O108,3))&gt;597,50,VLOOKUP(VLOOKUP(VALUE(LEFT($O108,3)),'CIRS Table Info'!$B$6:$J$425,2,FALSE),'CIRS Table Info'!$B$428:$C$431,2,FALSE)))</f>
        <v>606</v>
      </c>
      <c r="P107" s="44">
        <f t="shared" si="8"/>
        <v>1</v>
      </c>
    </row>
    <row r="108" spans="1:17" x14ac:dyDescent="0.2">
      <c r="A108" s="21">
        <v>49</v>
      </c>
      <c r="B108" s="45" t="s">
        <v>444</v>
      </c>
      <c r="C108" s="35">
        <f t="shared" si="4"/>
        <v>42719</v>
      </c>
      <c r="D108" s="39">
        <v>2016</v>
      </c>
      <c r="E108" s="40">
        <v>350</v>
      </c>
      <c r="F108" s="37">
        <v>0.88958333333333295</v>
      </c>
      <c r="G108" s="38">
        <v>0</v>
      </c>
      <c r="H108" s="37">
        <v>4.1666666666666699E-2</v>
      </c>
      <c r="I108" s="35">
        <f t="shared" si="5"/>
        <v>42719</v>
      </c>
      <c r="J108" s="47">
        <v>2016</v>
      </c>
      <c r="K108" s="36">
        <v>350</v>
      </c>
      <c r="L108" s="37">
        <v>0.93125000000000002</v>
      </c>
      <c r="M108" s="43">
        <v>3600</v>
      </c>
      <c r="N108" s="43">
        <v>12.96</v>
      </c>
      <c r="O108" s="43">
        <v>491</v>
      </c>
      <c r="P108" s="44">
        <f t="shared" si="8"/>
        <v>1</v>
      </c>
    </row>
    <row r="109" spans="1:17" x14ac:dyDescent="0.2">
      <c r="A109" s="21"/>
      <c r="B109" s="45" t="s">
        <v>89</v>
      </c>
      <c r="C109" s="35">
        <f t="shared" si="4"/>
        <v>42719</v>
      </c>
      <c r="D109" s="36">
        <f>J108</f>
        <v>2016</v>
      </c>
      <c r="E109" s="36">
        <f>K108</f>
        <v>350</v>
      </c>
      <c r="F109" s="37">
        <f>L108</f>
        <v>0.93125000000000002</v>
      </c>
      <c r="G109" s="38">
        <f>IF((L109-F109)&gt;0,K109-E109,IF((L109-F109)=0,0,K109-E109 -$F$401))</f>
        <v>0</v>
      </c>
      <c r="H109" s="37">
        <f>IF((L109-F109)&gt;0,L109-F109,IF((L109-F109)=0,0,$H$401+L109-F109))</f>
        <v>0</v>
      </c>
      <c r="I109" s="35">
        <f t="shared" si="5"/>
        <v>42719</v>
      </c>
      <c r="J109" s="36">
        <f>D110</f>
        <v>2016</v>
      </c>
      <c r="K109" s="36">
        <f>E110</f>
        <v>350</v>
      </c>
      <c r="L109" s="37">
        <f>F110</f>
        <v>0.93125000000000002</v>
      </c>
      <c r="M109" s="41"/>
      <c r="N109" s="42"/>
      <c r="O109" s="43">
        <f>IF(VALUE(LEFT($O110,3))&lt;192,50,IF(VALUE(LEFT($O110,3))&gt;597,50,VLOOKUP(VLOOKUP(VALUE(LEFT($O110,3)),'CIRS Table Info'!$B$6:$J$425,2,FALSE),'CIRS Table Info'!$B$428:$C$431,2,FALSE)))</f>
        <v>602</v>
      </c>
      <c r="P109" s="44">
        <f t="shared" si="8"/>
        <v>1</v>
      </c>
      <c r="Q109" s="49"/>
    </row>
    <row r="110" spans="1:17" x14ac:dyDescent="0.2">
      <c r="A110" s="21">
        <v>50</v>
      </c>
      <c r="B110" s="45" t="s">
        <v>445</v>
      </c>
      <c r="C110" s="35">
        <f t="shared" si="4"/>
        <v>42719</v>
      </c>
      <c r="D110" s="39">
        <v>2016</v>
      </c>
      <c r="E110" s="40">
        <v>350</v>
      </c>
      <c r="F110" s="37">
        <v>0.93125000000000002</v>
      </c>
      <c r="G110" s="38">
        <v>0</v>
      </c>
      <c r="H110" s="37">
        <v>0.16666666666666699</v>
      </c>
      <c r="I110" s="35">
        <f t="shared" si="5"/>
        <v>42720</v>
      </c>
      <c r="J110" s="47">
        <v>2016</v>
      </c>
      <c r="K110" s="36">
        <v>351</v>
      </c>
      <c r="L110" s="37">
        <v>9.7916666666666693E-2</v>
      </c>
      <c r="M110" s="43">
        <v>3600</v>
      </c>
      <c r="N110" s="43">
        <v>51.84</v>
      </c>
      <c r="O110" s="43">
        <v>467</v>
      </c>
      <c r="P110" s="44">
        <v>2</v>
      </c>
      <c r="Q110" s="49"/>
    </row>
    <row r="111" spans="1:17" x14ac:dyDescent="0.2">
      <c r="A111" s="21"/>
      <c r="B111" s="45" t="s">
        <v>90</v>
      </c>
      <c r="C111" s="35">
        <f t="shared" si="4"/>
        <v>42720</v>
      </c>
      <c r="D111" s="36">
        <f>J110</f>
        <v>2016</v>
      </c>
      <c r="E111" s="36">
        <f>K110</f>
        <v>351</v>
      </c>
      <c r="F111" s="37">
        <f>L110</f>
        <v>9.7916666666666693E-2</v>
      </c>
      <c r="G111" s="38">
        <f>IF((L111-F111)&gt;0,K111-E111,IF((L111-F111)=0,0,K111-E111 -$F$401))</f>
        <v>0</v>
      </c>
      <c r="H111" s="37">
        <f>IF((L111-F111)&gt;0,L111-F111,IF((L111-F111)=0,0,$H$401+L111-F111))</f>
        <v>0</v>
      </c>
      <c r="I111" s="35">
        <f t="shared" si="5"/>
        <v>42720</v>
      </c>
      <c r="J111" s="36">
        <f>D112</f>
        <v>2016</v>
      </c>
      <c r="K111" s="36">
        <f>E112</f>
        <v>351</v>
      </c>
      <c r="L111" s="37">
        <f>F112</f>
        <v>9.7916666666666693E-2</v>
      </c>
      <c r="M111" s="41"/>
      <c r="N111" s="42"/>
      <c r="O111" s="43">
        <f>IF(VALUE(LEFT($O112,3))&lt;192,50,IF(VALUE(LEFT($O112,3))&gt;597,50,VLOOKUP(VLOOKUP(VALUE(LEFT($O112,3)),'CIRS Table Info'!$B$6:$J$425,2,FALSE),'CIRS Table Info'!$B$428:$C$431,2,FALSE)))</f>
        <v>606</v>
      </c>
      <c r="P111" s="44">
        <f t="shared" ref="P111:P117" si="9">IF(O111=50,10,1)</f>
        <v>1</v>
      </c>
      <c r="Q111" s="49"/>
    </row>
    <row r="112" spans="1:17" x14ac:dyDescent="0.2">
      <c r="A112" s="21">
        <v>51</v>
      </c>
      <c r="B112" s="45" t="s">
        <v>446</v>
      </c>
      <c r="C112" s="35">
        <f t="shared" si="4"/>
        <v>42720</v>
      </c>
      <c r="D112" s="39">
        <v>2016</v>
      </c>
      <c r="E112" s="40">
        <v>351</v>
      </c>
      <c r="F112" s="37">
        <v>9.7916666666666693E-2</v>
      </c>
      <c r="G112" s="38">
        <v>0</v>
      </c>
      <c r="H112" s="37">
        <v>4.1666666666666699E-2</v>
      </c>
      <c r="I112" s="35">
        <f t="shared" si="5"/>
        <v>42720</v>
      </c>
      <c r="J112" s="47">
        <v>2016</v>
      </c>
      <c r="K112" s="36">
        <v>351</v>
      </c>
      <c r="L112" s="37">
        <v>0.139583333333333</v>
      </c>
      <c r="M112" s="43">
        <v>3600</v>
      </c>
      <c r="N112" s="43">
        <v>12.96</v>
      </c>
      <c r="O112" s="43">
        <v>491</v>
      </c>
      <c r="P112" s="44">
        <f t="shared" si="9"/>
        <v>1</v>
      </c>
      <c r="Q112" s="49"/>
    </row>
    <row r="113" spans="1:17" x14ac:dyDescent="0.2">
      <c r="A113" s="21"/>
      <c r="B113" s="45" t="s">
        <v>91</v>
      </c>
      <c r="C113" s="35">
        <f t="shared" si="4"/>
        <v>42720</v>
      </c>
      <c r="D113" s="36">
        <f>J112</f>
        <v>2016</v>
      </c>
      <c r="E113" s="36">
        <f>K112</f>
        <v>351</v>
      </c>
      <c r="F113" s="37">
        <f>L112</f>
        <v>0.139583333333333</v>
      </c>
      <c r="G113" s="38">
        <f>IF((L113-F113)&gt;0,K113-E113,IF((L113-F113)=0,0,K113-E113 -$F$401))</f>
        <v>0</v>
      </c>
      <c r="H113" s="37">
        <f>IF((L113-F113)&gt;0,L113-F113,IF((L113-F113)=0,0,$H$401+L113-F113))</f>
        <v>0</v>
      </c>
      <c r="I113" s="35">
        <f t="shared" si="5"/>
        <v>42720</v>
      </c>
      <c r="J113" s="36">
        <f>D114</f>
        <v>2016</v>
      </c>
      <c r="K113" s="36">
        <f>E114</f>
        <v>351</v>
      </c>
      <c r="L113" s="37">
        <f>F114</f>
        <v>0.139583333333333</v>
      </c>
      <c r="M113" s="41"/>
      <c r="N113" s="42"/>
      <c r="O113" s="43">
        <f>IF(VALUE(LEFT($O114,3))&lt;192,50,IF(VALUE(LEFT($O114,3))&gt;597,50,VLOOKUP(VLOOKUP(VALUE(LEFT($O114,3)),'CIRS Table Info'!$B$6:$J$425,2,FALSE),'CIRS Table Info'!$B$428:$C$431,2,FALSE)))</f>
        <v>606</v>
      </c>
      <c r="P113" s="44">
        <f t="shared" si="9"/>
        <v>1</v>
      </c>
      <c r="Q113" s="49"/>
    </row>
    <row r="114" spans="1:17" x14ac:dyDescent="0.2">
      <c r="A114" s="21">
        <v>52</v>
      </c>
      <c r="B114" s="45" t="s">
        <v>447</v>
      </c>
      <c r="C114" s="35">
        <f t="shared" si="4"/>
        <v>42720</v>
      </c>
      <c r="D114" s="39">
        <v>2016</v>
      </c>
      <c r="E114" s="40">
        <v>351</v>
      </c>
      <c r="F114" s="37">
        <v>0.139583333333333</v>
      </c>
      <c r="G114" s="38">
        <v>0</v>
      </c>
      <c r="H114" s="37">
        <v>6.25E-2</v>
      </c>
      <c r="I114" s="35">
        <f t="shared" si="5"/>
        <v>42720</v>
      </c>
      <c r="J114" s="47">
        <v>2016</v>
      </c>
      <c r="K114" s="36">
        <v>351</v>
      </c>
      <c r="L114" s="37">
        <v>0.202083333333333</v>
      </c>
      <c r="M114" s="43">
        <v>3600</v>
      </c>
      <c r="N114" s="43">
        <v>19.440000000000001</v>
      </c>
      <c r="O114" s="43">
        <v>541</v>
      </c>
      <c r="P114" s="44">
        <f t="shared" si="9"/>
        <v>1</v>
      </c>
      <c r="Q114" s="49"/>
    </row>
    <row r="115" spans="1:17" x14ac:dyDescent="0.2">
      <c r="A115" s="21"/>
      <c r="B115" s="45" t="s">
        <v>92</v>
      </c>
      <c r="C115" s="35">
        <f t="shared" si="4"/>
        <v>42720</v>
      </c>
      <c r="D115" s="36">
        <f>J114</f>
        <v>2016</v>
      </c>
      <c r="E115" s="36">
        <f>K114</f>
        <v>351</v>
      </c>
      <c r="F115" s="37">
        <f>L114</f>
        <v>0.202083333333333</v>
      </c>
      <c r="G115" s="38">
        <f>IF((L115-F115)&gt;0,K115-E115,IF((L115-F115)=0,0,K115-E115 -$F$401))</f>
        <v>0</v>
      </c>
      <c r="H115" s="37">
        <f>IF((L115-F115)&gt;0,L115-F115,IF((L115-F115)=0,0,$H$401+L115-F115))</f>
        <v>0</v>
      </c>
      <c r="I115" s="35">
        <f t="shared" si="5"/>
        <v>42720</v>
      </c>
      <c r="J115" s="36">
        <f>D116</f>
        <v>2016</v>
      </c>
      <c r="K115" s="36">
        <f>E116</f>
        <v>351</v>
      </c>
      <c r="L115" s="37">
        <f>F116</f>
        <v>0.202083333333333</v>
      </c>
      <c r="M115" s="41"/>
      <c r="N115" s="42"/>
      <c r="O115" s="43">
        <f>IF(VALUE(LEFT($O116,3))&lt;192,50,IF(VALUE(LEFT($O116,3))&gt;597,50,VLOOKUP(VLOOKUP(VALUE(LEFT($O116,3)),'CIRS Table Info'!$B$6:$J$425,2,FALSE),'CIRS Table Info'!$B$428:$C$431,2,FALSE)))</f>
        <v>606</v>
      </c>
      <c r="P115" s="44">
        <f t="shared" si="9"/>
        <v>1</v>
      </c>
      <c r="Q115" s="49"/>
    </row>
    <row r="116" spans="1:17" x14ac:dyDescent="0.2">
      <c r="A116" s="21">
        <v>53</v>
      </c>
      <c r="B116" s="45" t="s">
        <v>449</v>
      </c>
      <c r="C116" s="35">
        <f t="shared" si="4"/>
        <v>42720</v>
      </c>
      <c r="D116" s="39">
        <v>2016</v>
      </c>
      <c r="E116" s="40">
        <v>351</v>
      </c>
      <c r="F116" s="37">
        <v>0.202083333333333</v>
      </c>
      <c r="G116" s="38">
        <v>0</v>
      </c>
      <c r="H116" s="37">
        <v>4.1666666666666699E-2</v>
      </c>
      <c r="I116" s="35">
        <f t="shared" si="5"/>
        <v>42720</v>
      </c>
      <c r="J116" s="47">
        <v>2016</v>
      </c>
      <c r="K116" s="36">
        <v>351</v>
      </c>
      <c r="L116" s="37">
        <v>0.24374999999999999</v>
      </c>
      <c r="M116" s="43">
        <v>3600</v>
      </c>
      <c r="N116" s="43">
        <v>12.96</v>
      </c>
      <c r="O116" s="43">
        <v>541</v>
      </c>
      <c r="P116" s="44">
        <f t="shared" si="9"/>
        <v>1</v>
      </c>
      <c r="Q116" s="49"/>
    </row>
    <row r="117" spans="1:17" x14ac:dyDescent="0.2">
      <c r="A117" s="21"/>
      <c r="B117" s="45" t="s">
        <v>93</v>
      </c>
      <c r="C117" s="35">
        <f t="shared" si="4"/>
        <v>42720</v>
      </c>
      <c r="D117" s="36">
        <f>J116</f>
        <v>2016</v>
      </c>
      <c r="E117" s="36">
        <f>K116</f>
        <v>351</v>
      </c>
      <c r="F117" s="37">
        <f>L116</f>
        <v>0.24374999999999999</v>
      </c>
      <c r="G117" s="38">
        <f>IF((L117-F117)&gt;0,K117-E117,IF((L117-F117)=0,0,K117-E117 -$F$401))</f>
        <v>0</v>
      </c>
      <c r="H117" s="37">
        <f>IF((L117-F117)&gt;0,L117-F117,IF((L117-F117)=0,0,$H$401+L117-F117))</f>
        <v>0</v>
      </c>
      <c r="I117" s="35">
        <f t="shared" si="5"/>
        <v>42720</v>
      </c>
      <c r="J117" s="36">
        <f>D118</f>
        <v>2016</v>
      </c>
      <c r="K117" s="36">
        <f>E118</f>
        <v>351</v>
      </c>
      <c r="L117" s="37">
        <f>F118</f>
        <v>0.24374999999999999</v>
      </c>
      <c r="M117" s="41"/>
      <c r="N117" s="42"/>
      <c r="O117" s="43">
        <f>IF(VALUE(LEFT($O118,3))&lt;192,50,IF(VALUE(LEFT($O118,3))&gt;597,50,VLOOKUP(VLOOKUP(VALUE(LEFT($O118,3)),'CIRS Table Info'!$B$6:$J$425,2,FALSE),'CIRS Table Info'!$B$428:$C$431,2,FALSE)))</f>
        <v>602</v>
      </c>
      <c r="P117" s="44">
        <f t="shared" si="9"/>
        <v>1</v>
      </c>
      <c r="Q117" s="49"/>
    </row>
    <row r="118" spans="1:17" x14ac:dyDescent="0.2">
      <c r="A118" s="21">
        <v>54</v>
      </c>
      <c r="B118" s="45" t="s">
        <v>450</v>
      </c>
      <c r="C118" s="35">
        <f t="shared" si="4"/>
        <v>42720</v>
      </c>
      <c r="D118" s="39">
        <v>2016</v>
      </c>
      <c r="E118" s="40">
        <v>351</v>
      </c>
      <c r="F118" s="37">
        <v>0.24374999999999999</v>
      </c>
      <c r="G118" s="38">
        <v>0</v>
      </c>
      <c r="H118" s="37">
        <v>6.25E-2</v>
      </c>
      <c r="I118" s="35">
        <f t="shared" si="5"/>
        <v>42720</v>
      </c>
      <c r="J118" s="47">
        <v>2016</v>
      </c>
      <c r="K118" s="36">
        <v>351</v>
      </c>
      <c r="L118" s="37">
        <v>0.30625000000000002</v>
      </c>
      <c r="M118" s="43">
        <v>3600</v>
      </c>
      <c r="N118" s="43">
        <v>19.440000000000001</v>
      </c>
      <c r="O118" s="43">
        <v>467</v>
      </c>
      <c r="P118" s="44">
        <v>2</v>
      </c>
      <c r="Q118" s="49"/>
    </row>
    <row r="119" spans="1:17" x14ac:dyDescent="0.2">
      <c r="A119" s="21"/>
      <c r="B119" s="45" t="s">
        <v>94</v>
      </c>
      <c r="C119" s="35">
        <f t="shared" si="4"/>
        <v>42720</v>
      </c>
      <c r="D119" s="36">
        <f>J118</f>
        <v>2016</v>
      </c>
      <c r="E119" s="36">
        <f>K118</f>
        <v>351</v>
      </c>
      <c r="F119" s="37">
        <f>L118</f>
        <v>0.30625000000000002</v>
      </c>
      <c r="G119" s="38">
        <f>IF((L119-F119)&gt;0,K119-E119,IF((L119-F119)=0,0,K119-E119 -$F$401))</f>
        <v>0</v>
      </c>
      <c r="H119" s="37">
        <f>IF((L119-F119)&gt;0,L119-F119,IF((L119-F119)=0,0,$H$401+L119-F119))</f>
        <v>0</v>
      </c>
      <c r="I119" s="35">
        <f t="shared" si="5"/>
        <v>42720</v>
      </c>
      <c r="J119" s="36">
        <f>D120</f>
        <v>2016</v>
      </c>
      <c r="K119" s="36">
        <f>E120</f>
        <v>351</v>
      </c>
      <c r="L119" s="37">
        <f>F120</f>
        <v>0.30625000000000002</v>
      </c>
      <c r="M119" s="41"/>
      <c r="N119" s="42"/>
      <c r="O119" s="43">
        <f>IF(VALUE(LEFT($O120,3))&lt;192,50,IF(VALUE(LEFT($O120,3))&gt;597,50,VLOOKUP(VLOOKUP(VALUE(LEFT($O120,3)),'CIRS Table Info'!$B$6:$J$425,2,FALSE),'CIRS Table Info'!$B$428:$C$431,2,FALSE)))</f>
        <v>606</v>
      </c>
      <c r="P119" s="44">
        <f>IF(O119=50,10,1)</f>
        <v>1</v>
      </c>
      <c r="Q119" s="49"/>
    </row>
    <row r="120" spans="1:17" x14ac:dyDescent="0.2">
      <c r="A120" s="21">
        <v>55</v>
      </c>
      <c r="B120" s="45" t="s">
        <v>451</v>
      </c>
      <c r="C120" s="35">
        <f t="shared" si="4"/>
        <v>42720</v>
      </c>
      <c r="D120" s="39">
        <v>2016</v>
      </c>
      <c r="E120" s="40">
        <v>351</v>
      </c>
      <c r="F120" s="37">
        <v>0.30625000000000002</v>
      </c>
      <c r="G120" s="38">
        <v>0</v>
      </c>
      <c r="H120" s="37">
        <v>4.1666666666666699E-2</v>
      </c>
      <c r="I120" s="35">
        <f t="shared" si="5"/>
        <v>42720</v>
      </c>
      <c r="J120" s="47">
        <v>2016</v>
      </c>
      <c r="K120" s="36">
        <v>351</v>
      </c>
      <c r="L120" s="37">
        <v>0.34791666666666698</v>
      </c>
      <c r="M120" s="43">
        <v>3600</v>
      </c>
      <c r="N120" s="43">
        <v>12.96</v>
      </c>
      <c r="O120" s="43">
        <v>491</v>
      </c>
      <c r="P120" s="44">
        <f>IF(O120=50,10,1)</f>
        <v>1</v>
      </c>
      <c r="Q120" s="49"/>
    </row>
    <row r="121" spans="1:17" x14ac:dyDescent="0.2">
      <c r="A121" s="21"/>
      <c r="B121" s="45" t="s">
        <v>95</v>
      </c>
      <c r="C121" s="35">
        <f t="shared" si="4"/>
        <v>42720</v>
      </c>
      <c r="D121" s="36">
        <f>J120</f>
        <v>2016</v>
      </c>
      <c r="E121" s="36">
        <f>K120</f>
        <v>351</v>
      </c>
      <c r="F121" s="37">
        <f>L120</f>
        <v>0.34791666666666698</v>
      </c>
      <c r="G121" s="38">
        <f>IF((L121-F121)&gt;0,K121-E121,IF((L121-F121)=0,0,K121-E121 -$F$401))</f>
        <v>0</v>
      </c>
      <c r="H121" s="37">
        <f>IF((L121-F121)&gt;0,L121-F121,IF((L121-F121)=0,0,$H$401+L121-F121))</f>
        <v>0</v>
      </c>
      <c r="I121" s="35">
        <f t="shared" si="5"/>
        <v>42720</v>
      </c>
      <c r="J121" s="36">
        <f>D122</f>
        <v>2016</v>
      </c>
      <c r="K121" s="36">
        <f>E122</f>
        <v>351</v>
      </c>
      <c r="L121" s="37">
        <f>F122</f>
        <v>0.34791666666666698</v>
      </c>
      <c r="M121" s="41"/>
      <c r="N121" s="42"/>
      <c r="O121" s="43">
        <f>IF(VALUE(LEFT($O122,3))&lt;192,50,IF(VALUE(LEFT($O122,3))&gt;597,50,VLOOKUP(VLOOKUP(VALUE(LEFT($O122,3)),'CIRS Table Info'!$B$6:$J$425,2,FALSE),'CIRS Table Info'!$B$428:$C$431,2,FALSE)))</f>
        <v>602</v>
      </c>
      <c r="P121" s="44">
        <f>IF(O121=50,10,1)</f>
        <v>1</v>
      </c>
      <c r="Q121" s="49"/>
    </row>
    <row r="122" spans="1:17" x14ac:dyDescent="0.2">
      <c r="A122" s="21">
        <v>56</v>
      </c>
      <c r="B122" s="45" t="s">
        <v>452</v>
      </c>
      <c r="C122" s="35">
        <f t="shared" si="4"/>
        <v>42720</v>
      </c>
      <c r="D122" s="39">
        <v>2016</v>
      </c>
      <c r="E122" s="40">
        <v>351</v>
      </c>
      <c r="F122" s="37">
        <v>0.34791666666666698</v>
      </c>
      <c r="G122" s="38">
        <v>0</v>
      </c>
      <c r="H122" s="37">
        <v>9.1666666666666702E-2</v>
      </c>
      <c r="I122" s="35">
        <f t="shared" si="5"/>
        <v>42720</v>
      </c>
      <c r="J122" s="47">
        <v>2016</v>
      </c>
      <c r="K122" s="36">
        <v>351</v>
      </c>
      <c r="L122" s="37">
        <v>0.43958333333333299</v>
      </c>
      <c r="M122" s="43">
        <v>3600</v>
      </c>
      <c r="N122" s="43">
        <v>28.512</v>
      </c>
      <c r="O122" s="43">
        <v>467</v>
      </c>
      <c r="P122" s="44">
        <v>2</v>
      </c>
      <c r="Q122" s="49"/>
    </row>
    <row r="123" spans="1:17" x14ac:dyDescent="0.2">
      <c r="A123" s="21"/>
      <c r="B123" s="45" t="s">
        <v>96</v>
      </c>
      <c r="C123" s="35">
        <f t="shared" si="4"/>
        <v>42720</v>
      </c>
      <c r="D123" s="36">
        <f>J122</f>
        <v>2016</v>
      </c>
      <c r="E123" s="36">
        <f>K122</f>
        <v>351</v>
      </c>
      <c r="F123" s="37">
        <f>L122</f>
        <v>0.43958333333333299</v>
      </c>
      <c r="G123" s="38">
        <f>IF((L123-F123)&gt;0,K123-E123,IF((L123-F123)=0,0,K123-E123 -$F$401))</f>
        <v>0</v>
      </c>
      <c r="H123" s="37">
        <f>IF((L123-F123)&gt;0,L123-F123,IF((L123-F123)=0,0,$H$401+L123-F123))</f>
        <v>0</v>
      </c>
      <c r="I123" s="35">
        <f t="shared" si="5"/>
        <v>42720</v>
      </c>
      <c r="J123" s="36">
        <f>D124</f>
        <v>2016</v>
      </c>
      <c r="K123" s="36">
        <f>E124</f>
        <v>351</v>
      </c>
      <c r="L123" s="37">
        <f>F124</f>
        <v>0.43958333333333299</v>
      </c>
      <c r="M123" s="41"/>
      <c r="N123" s="42"/>
      <c r="O123" s="43">
        <f>IF(VALUE(LEFT($O124,3))&lt;192,50,IF(VALUE(LEFT($O124,3))&gt;597,50,VLOOKUP(VLOOKUP(VALUE(LEFT($O124,3)),'CIRS Table Info'!$B$6:$J$425,2,FALSE),'CIRS Table Info'!$B$428:$C$431,2,FALSE)))</f>
        <v>606</v>
      </c>
      <c r="P123" s="44">
        <f t="shared" ref="P123:P133" si="10">IF(O123=50,10,1)</f>
        <v>1</v>
      </c>
      <c r="Q123" s="49"/>
    </row>
    <row r="124" spans="1:17" x14ac:dyDescent="0.2">
      <c r="A124" s="21">
        <v>57</v>
      </c>
      <c r="B124" s="45" t="s">
        <v>453</v>
      </c>
      <c r="C124" s="35">
        <f t="shared" si="4"/>
        <v>42720</v>
      </c>
      <c r="D124" s="39">
        <v>2016</v>
      </c>
      <c r="E124" s="40">
        <v>351</v>
      </c>
      <c r="F124" s="37">
        <v>0.43958333333333299</v>
      </c>
      <c r="G124" s="38">
        <v>0</v>
      </c>
      <c r="H124" s="37">
        <v>4.1666666666666699E-2</v>
      </c>
      <c r="I124" s="35">
        <f t="shared" si="5"/>
        <v>42720</v>
      </c>
      <c r="J124" s="47">
        <v>2016</v>
      </c>
      <c r="K124" s="36">
        <v>351</v>
      </c>
      <c r="L124" s="37">
        <v>0.48125000000000001</v>
      </c>
      <c r="M124" s="43">
        <v>3600</v>
      </c>
      <c r="N124" s="43">
        <v>12.96</v>
      </c>
      <c r="O124" s="43">
        <v>491</v>
      </c>
      <c r="P124" s="44">
        <f t="shared" si="10"/>
        <v>1</v>
      </c>
      <c r="Q124" s="49"/>
    </row>
    <row r="125" spans="1:17" x14ac:dyDescent="0.2">
      <c r="A125" s="21"/>
      <c r="B125" s="45" t="s">
        <v>97</v>
      </c>
      <c r="C125" s="35">
        <f t="shared" si="4"/>
        <v>42720</v>
      </c>
      <c r="D125" s="36">
        <f>J124</f>
        <v>2016</v>
      </c>
      <c r="E125" s="36">
        <f>K124</f>
        <v>351</v>
      </c>
      <c r="F125" s="37">
        <f>L124</f>
        <v>0.48125000000000001</v>
      </c>
      <c r="G125" s="38">
        <f>IF((L125-F125)&gt;0,K125-E125,IF((L125-F125)=0,0,K125-E125 -$F$401))</f>
        <v>0</v>
      </c>
      <c r="H125" s="37">
        <f>IF((L125-F125)&gt;0,L125-F125,IF((L125-F125)=0,0,$H$401+L125-F125))</f>
        <v>0.13194444444444403</v>
      </c>
      <c r="I125" s="35">
        <f t="shared" si="5"/>
        <v>42720</v>
      </c>
      <c r="J125" s="36">
        <f>D126</f>
        <v>2016</v>
      </c>
      <c r="K125" s="36">
        <f>E126</f>
        <v>351</v>
      </c>
      <c r="L125" s="37">
        <f>F126</f>
        <v>0.61319444444444404</v>
      </c>
      <c r="M125" s="41"/>
      <c r="N125" s="42"/>
      <c r="O125" s="43">
        <f>IF(VALUE(LEFT($O126,3))&lt;192,50,IF(VALUE(LEFT($O126,3))&gt;597,50,VLOOKUP(VLOOKUP(VALUE(LEFT($O126,3)),'CIRS Table Info'!$B$6:$J$425,2,FALSE),'CIRS Table Info'!$B$428:$C$431,2,FALSE)))</f>
        <v>50</v>
      </c>
      <c r="P125" s="44">
        <f t="shared" si="10"/>
        <v>10</v>
      </c>
    </row>
    <row r="126" spans="1:17" x14ac:dyDescent="0.2">
      <c r="A126" s="21">
        <v>58</v>
      </c>
      <c r="B126" s="45" t="s">
        <v>454</v>
      </c>
      <c r="C126" s="35">
        <f t="shared" si="4"/>
        <v>42720</v>
      </c>
      <c r="D126" s="39">
        <v>2016</v>
      </c>
      <c r="E126" s="40">
        <v>351</v>
      </c>
      <c r="F126" s="37">
        <v>0.61319444444444404</v>
      </c>
      <c r="G126" s="38">
        <v>0</v>
      </c>
      <c r="H126" s="37">
        <v>0.29166666666666702</v>
      </c>
      <c r="I126" s="35">
        <f t="shared" si="5"/>
        <v>42720</v>
      </c>
      <c r="J126" s="47">
        <v>2016</v>
      </c>
      <c r="K126" s="36">
        <v>351</v>
      </c>
      <c r="L126" s="37">
        <v>0.90486111111111101</v>
      </c>
      <c r="M126" s="43">
        <v>3000</v>
      </c>
      <c r="N126" s="43">
        <v>75.599999999999994</v>
      </c>
      <c r="O126" s="43">
        <f>IF(MID(B126,6,7)="NO_DATA",50,IF(N126=0,50,IF(A126="", " ",807)))</f>
        <v>807</v>
      </c>
      <c r="P126" s="44">
        <f t="shared" si="10"/>
        <v>1</v>
      </c>
    </row>
    <row r="127" spans="1:17" x14ac:dyDescent="0.2">
      <c r="A127" s="21"/>
      <c r="B127" s="45" t="s">
        <v>98</v>
      </c>
      <c r="C127" s="35">
        <f t="shared" si="4"/>
        <v>42720</v>
      </c>
      <c r="D127" s="36">
        <f>J126</f>
        <v>2016</v>
      </c>
      <c r="E127" s="36">
        <f>K126</f>
        <v>351</v>
      </c>
      <c r="F127" s="37">
        <f>L126</f>
        <v>0.90486111111111101</v>
      </c>
      <c r="G127" s="38">
        <f>IF((L127-F127)&gt;0,K127-E127,IF((L127-F127)=0,0,K127-E127 -$F$401))</f>
        <v>0</v>
      </c>
      <c r="H127" s="37">
        <f>IF((L127-F127)&gt;0,L127-F127,IF((L127-F127)=0,0,$H$401+L127-F127))</f>
        <v>0</v>
      </c>
      <c r="I127" s="35">
        <f t="shared" si="5"/>
        <v>42720</v>
      </c>
      <c r="J127" s="36">
        <f>D128</f>
        <v>2016</v>
      </c>
      <c r="K127" s="36">
        <f>E128</f>
        <v>351</v>
      </c>
      <c r="L127" s="37">
        <f>F128</f>
        <v>0.90486111111111101</v>
      </c>
      <c r="M127" s="41"/>
      <c r="N127" s="42"/>
      <c r="O127" s="43">
        <f>IF(VALUE(LEFT($O128,3))&lt;192,50,IF(VALUE(LEFT($O128,3))&gt;597,50,VLOOKUP(VLOOKUP(VALUE(LEFT($O128,3)),'CIRS Table Info'!$B$6:$J$425,2,FALSE),'CIRS Table Info'!$B$428:$C$431,2,FALSE)))</f>
        <v>600</v>
      </c>
      <c r="P127" s="44">
        <f t="shared" si="10"/>
        <v>1</v>
      </c>
    </row>
    <row r="128" spans="1:17" x14ac:dyDescent="0.2">
      <c r="A128" s="21">
        <v>59</v>
      </c>
      <c r="B128" s="45" t="s">
        <v>455</v>
      </c>
      <c r="C128" s="35">
        <f t="shared" si="4"/>
        <v>42720</v>
      </c>
      <c r="D128" s="39">
        <v>2016</v>
      </c>
      <c r="E128" s="40">
        <v>351</v>
      </c>
      <c r="F128" s="37">
        <v>0.90486111111111101</v>
      </c>
      <c r="G128" s="38">
        <v>0</v>
      </c>
      <c r="H128" s="37">
        <v>0.79166666666666696</v>
      </c>
      <c r="I128" s="35">
        <f t="shared" si="5"/>
        <v>42721</v>
      </c>
      <c r="J128" s="47">
        <v>2016</v>
      </c>
      <c r="K128" s="36">
        <v>352</v>
      </c>
      <c r="L128" s="37">
        <v>0.69652777777777797</v>
      </c>
      <c r="M128" s="43">
        <v>400</v>
      </c>
      <c r="N128" s="43">
        <v>27.36</v>
      </c>
      <c r="O128" s="43">
        <v>192</v>
      </c>
      <c r="P128" s="44">
        <f t="shared" si="10"/>
        <v>1</v>
      </c>
    </row>
    <row r="129" spans="1:16" x14ac:dyDescent="0.2">
      <c r="A129" s="21"/>
      <c r="B129" s="45" t="s">
        <v>99</v>
      </c>
      <c r="C129" s="35">
        <f t="shared" si="4"/>
        <v>42721</v>
      </c>
      <c r="D129" s="36">
        <f>J128</f>
        <v>2016</v>
      </c>
      <c r="E129" s="36">
        <f>K128</f>
        <v>352</v>
      </c>
      <c r="F129" s="37">
        <f>L128</f>
        <v>0.69652777777777797</v>
      </c>
      <c r="G129" s="38">
        <f>IF((L129-F129)&gt;0,K129-E129,IF((L129-F129)=0,0,K129-E129 -$F$401))</f>
        <v>0</v>
      </c>
      <c r="H129" s="37">
        <f>IF((L129-F129)&gt;0,L129-F129,IF((L129-F129)=0,0,$H$401+L129-F129))</f>
        <v>0.11805555555555503</v>
      </c>
      <c r="I129" s="35">
        <f t="shared" si="5"/>
        <v>42721</v>
      </c>
      <c r="J129" s="36">
        <f>D130</f>
        <v>2016</v>
      </c>
      <c r="K129" s="36">
        <f>E130</f>
        <v>352</v>
      </c>
      <c r="L129" s="37">
        <f>F130</f>
        <v>0.81458333333333299</v>
      </c>
      <c r="M129" s="41"/>
      <c r="N129" s="42"/>
      <c r="O129" s="43">
        <f>IF(VALUE(LEFT($O130,3))&lt;192,50,IF(VALUE(LEFT($O130,3))&gt;597,50,VLOOKUP(VLOOKUP(VALUE(LEFT($O130,3)),'CIRS Table Info'!$B$6:$J$425,2,FALSE),'CIRS Table Info'!$B$428:$C$431,2,FALSE)))</f>
        <v>50</v>
      </c>
      <c r="P129" s="44">
        <f t="shared" si="10"/>
        <v>10</v>
      </c>
    </row>
    <row r="130" spans="1:16" x14ac:dyDescent="0.2">
      <c r="A130" s="21">
        <v>60</v>
      </c>
      <c r="B130" s="45" t="s">
        <v>456</v>
      </c>
      <c r="C130" s="35">
        <f t="shared" si="4"/>
        <v>42721</v>
      </c>
      <c r="D130" s="39">
        <v>2016</v>
      </c>
      <c r="E130" s="40">
        <v>352</v>
      </c>
      <c r="F130" s="37">
        <v>0.81458333333333299</v>
      </c>
      <c r="G130" s="38">
        <v>0</v>
      </c>
      <c r="H130" s="37">
        <v>0.32291666666666702</v>
      </c>
      <c r="I130" s="35">
        <f t="shared" si="5"/>
        <v>42722</v>
      </c>
      <c r="J130" s="47">
        <v>2016</v>
      </c>
      <c r="K130" s="36">
        <v>353</v>
      </c>
      <c r="L130" s="37">
        <v>0.13750000000000001</v>
      </c>
      <c r="M130" s="43">
        <v>3000</v>
      </c>
      <c r="N130" s="43">
        <v>83.7</v>
      </c>
      <c r="O130" s="43">
        <f>IF(MID(B130,6,7)="NO_DATA",50,IF(N130=0,50,IF(A130="", " ",809)))</f>
        <v>809</v>
      </c>
      <c r="P130" s="44">
        <f t="shared" si="10"/>
        <v>1</v>
      </c>
    </row>
    <row r="131" spans="1:16" x14ac:dyDescent="0.2">
      <c r="A131" s="21"/>
      <c r="B131" s="45" t="s">
        <v>100</v>
      </c>
      <c r="C131" s="35">
        <f t="shared" si="4"/>
        <v>42722</v>
      </c>
      <c r="D131" s="36">
        <f>J130</f>
        <v>2016</v>
      </c>
      <c r="E131" s="36">
        <f>K130</f>
        <v>353</v>
      </c>
      <c r="F131" s="37">
        <f>L130</f>
        <v>0.13750000000000001</v>
      </c>
      <c r="G131" s="38">
        <f>IF((L131-F131)&gt;0,K131-E131,IF((L131-F131)=0,0,K131-E131 -$F$401))</f>
        <v>0</v>
      </c>
      <c r="H131" s="37">
        <f>IF((L131-F131)&gt;0,L131-F131,IF((L131-F131)=0,0,$H$401+L131-F131))</f>
        <v>3.8194444444443976E-2</v>
      </c>
      <c r="I131" s="35">
        <f t="shared" si="5"/>
        <v>42722</v>
      </c>
      <c r="J131" s="36">
        <f>D132</f>
        <v>2016</v>
      </c>
      <c r="K131" s="36">
        <f>E132</f>
        <v>353</v>
      </c>
      <c r="L131" s="37">
        <f>F132</f>
        <v>0.17569444444444399</v>
      </c>
      <c r="M131" s="41"/>
      <c r="N131" s="42"/>
      <c r="O131" s="43">
        <f>IF(VALUE(LEFT($O132,3))&lt;192,50,IF(VALUE(LEFT($O132,3))&gt;597,50,VLOOKUP(VLOOKUP(VALUE(LEFT($O132,3)),'CIRS Table Info'!$B$6:$J$425,2,FALSE),'CIRS Table Info'!$B$428:$C$431,2,FALSE)))</f>
        <v>606</v>
      </c>
      <c r="P131" s="44">
        <f t="shared" si="10"/>
        <v>1</v>
      </c>
    </row>
    <row r="132" spans="1:16" x14ac:dyDescent="0.2">
      <c r="A132" s="21">
        <v>61</v>
      </c>
      <c r="B132" s="45" t="s">
        <v>457</v>
      </c>
      <c r="C132" s="35">
        <f t="shared" si="4"/>
        <v>42722</v>
      </c>
      <c r="D132" s="39">
        <v>2016</v>
      </c>
      <c r="E132" s="40">
        <v>353</v>
      </c>
      <c r="F132" s="37">
        <v>0.17569444444444399</v>
      </c>
      <c r="G132" s="38">
        <v>0</v>
      </c>
      <c r="H132" s="37">
        <v>8.3333333333333301E-2</v>
      </c>
      <c r="I132" s="35">
        <f t="shared" si="5"/>
        <v>42722</v>
      </c>
      <c r="J132" s="47">
        <v>2016</v>
      </c>
      <c r="K132" s="36">
        <v>353</v>
      </c>
      <c r="L132" s="37">
        <v>0.25902777777777802</v>
      </c>
      <c r="M132" s="43">
        <v>4000</v>
      </c>
      <c r="N132" s="43">
        <v>28.8</v>
      </c>
      <c r="O132" s="43">
        <v>341</v>
      </c>
      <c r="P132" s="44">
        <f t="shared" si="10"/>
        <v>1</v>
      </c>
    </row>
    <row r="133" spans="1:16" x14ac:dyDescent="0.2">
      <c r="A133" s="21"/>
      <c r="B133" s="45" t="s">
        <v>101</v>
      </c>
      <c r="C133" s="35">
        <f t="shared" si="4"/>
        <v>42722</v>
      </c>
      <c r="D133" s="36">
        <f>J132</f>
        <v>2016</v>
      </c>
      <c r="E133" s="36">
        <f>K132</f>
        <v>353</v>
      </c>
      <c r="F133" s="37">
        <f>L132</f>
        <v>0.25902777777777802</v>
      </c>
      <c r="G133" s="38">
        <f>IF((L133-F133)&gt;0,K133-E133,IF((L133-F133)=0,0,K133-E133 -$F$401))</f>
        <v>0</v>
      </c>
      <c r="H133" s="37">
        <f>IF((L133-F133)&gt;0,L133-F133,IF((L133-F133)=0,0,$H$401+L133-F133))</f>
        <v>0</v>
      </c>
      <c r="I133" s="35">
        <f t="shared" si="5"/>
        <v>42722</v>
      </c>
      <c r="J133" s="36">
        <f>D134</f>
        <v>2016</v>
      </c>
      <c r="K133" s="36">
        <f>E134</f>
        <v>353</v>
      </c>
      <c r="L133" s="37">
        <f>F134</f>
        <v>0.25902777777777802</v>
      </c>
      <c r="M133" s="41"/>
      <c r="N133" s="42"/>
      <c r="O133" s="43">
        <f>IF(VALUE(LEFT($O134,3))&lt;192,50,IF(VALUE(LEFT($O134,3))&gt;597,50,VLOOKUP(VLOOKUP(VALUE(LEFT($O134,3)),'CIRS Table Info'!$B$6:$J$425,2,FALSE),'CIRS Table Info'!$B$428:$C$431,2,FALSE)))</f>
        <v>600</v>
      </c>
      <c r="P133" s="44">
        <f t="shared" si="10"/>
        <v>1</v>
      </c>
    </row>
    <row r="134" spans="1:16" x14ac:dyDescent="0.2">
      <c r="A134" s="21">
        <v>62</v>
      </c>
      <c r="B134" s="45" t="s">
        <v>458</v>
      </c>
      <c r="C134" s="35">
        <f t="shared" si="4"/>
        <v>42722</v>
      </c>
      <c r="D134" s="39">
        <v>2016</v>
      </c>
      <c r="E134" s="40">
        <v>353</v>
      </c>
      <c r="F134" s="37">
        <v>0.25902777777777802</v>
      </c>
      <c r="G134" s="38">
        <v>0</v>
      </c>
      <c r="H134" s="37">
        <v>0.19097222222222199</v>
      </c>
      <c r="I134" s="35">
        <f t="shared" si="5"/>
        <v>42722</v>
      </c>
      <c r="J134" s="47">
        <v>2016</v>
      </c>
      <c r="K134" s="36">
        <v>353</v>
      </c>
      <c r="L134" s="37">
        <v>0.45</v>
      </c>
      <c r="M134" s="43">
        <v>2200</v>
      </c>
      <c r="N134" s="43">
        <v>36.299999999999997</v>
      </c>
      <c r="O134" s="471" t="s">
        <v>642</v>
      </c>
      <c r="P134" s="472" t="s">
        <v>639</v>
      </c>
    </row>
    <row r="135" spans="1:16" x14ac:dyDescent="0.2">
      <c r="A135" s="21"/>
      <c r="B135" s="45" t="s">
        <v>102</v>
      </c>
      <c r="C135" s="35">
        <f t="shared" si="4"/>
        <v>42722</v>
      </c>
      <c r="D135" s="36">
        <f>J134</f>
        <v>2016</v>
      </c>
      <c r="E135" s="36">
        <f>K134</f>
        <v>353</v>
      </c>
      <c r="F135" s="37">
        <f>L134</f>
        <v>0.45</v>
      </c>
      <c r="G135" s="38">
        <f>IF((L135-F135)&gt;0,K135-E135,IF((L135-F135)=0,0,K135-E135 -$F$401))</f>
        <v>0</v>
      </c>
      <c r="H135" s="37">
        <f>IF((L135-F135)&gt;0,L135-F135,IF((L135-F135)=0,0,$H$401+L135-F135))</f>
        <v>0</v>
      </c>
      <c r="I135" s="35">
        <f t="shared" si="5"/>
        <v>42722</v>
      </c>
      <c r="J135" s="36">
        <f>D136</f>
        <v>2016</v>
      </c>
      <c r="K135" s="36">
        <f>E136</f>
        <v>353</v>
      </c>
      <c r="L135" s="37">
        <f>F136</f>
        <v>0.45</v>
      </c>
      <c r="M135" s="41"/>
      <c r="N135" s="42"/>
      <c r="O135" s="43">
        <f>IF(VALUE(LEFT($O136,3))&lt;192,50,IF(VALUE(LEFT($O136,3))&gt;597,50,VLOOKUP(VLOOKUP(VALUE(LEFT($O136,3)),'CIRS Table Info'!$B$6:$J$425,2,FALSE),'CIRS Table Info'!$B$428:$C$431,2,FALSE)))</f>
        <v>600</v>
      </c>
      <c r="P135" s="44">
        <f>IF(O135=50,10,1)</f>
        <v>1</v>
      </c>
    </row>
    <row r="136" spans="1:16" x14ac:dyDescent="0.2">
      <c r="A136" s="21">
        <v>63</v>
      </c>
      <c r="B136" s="45" t="s">
        <v>460</v>
      </c>
      <c r="C136" s="35">
        <f t="shared" ref="C136:C199" si="11">DATE(D136,1,E136)</f>
        <v>42722</v>
      </c>
      <c r="D136" s="39">
        <v>2016</v>
      </c>
      <c r="E136" s="40">
        <v>353</v>
      </c>
      <c r="F136" s="37">
        <v>0.45</v>
      </c>
      <c r="G136" s="38">
        <v>0</v>
      </c>
      <c r="H136" s="37">
        <v>0.15625</v>
      </c>
      <c r="I136" s="35">
        <f t="shared" si="5"/>
        <v>42722</v>
      </c>
      <c r="J136" s="47">
        <v>2016</v>
      </c>
      <c r="K136" s="36">
        <v>353</v>
      </c>
      <c r="L136" s="37">
        <v>0.60624999999999996</v>
      </c>
      <c r="M136" s="43">
        <v>400</v>
      </c>
      <c r="N136" s="43">
        <v>5.4</v>
      </c>
      <c r="O136" s="43">
        <v>192</v>
      </c>
      <c r="P136" s="44">
        <f>IF(O136=50,10,1)</f>
        <v>1</v>
      </c>
    </row>
    <row r="137" spans="1:16" x14ac:dyDescent="0.2">
      <c r="A137" s="21"/>
      <c r="B137" s="45" t="s">
        <v>103</v>
      </c>
      <c r="C137" s="35">
        <f t="shared" si="11"/>
        <v>42722</v>
      </c>
      <c r="D137" s="36">
        <f>J136</f>
        <v>2016</v>
      </c>
      <c r="E137" s="36">
        <f>K136</f>
        <v>353</v>
      </c>
      <c r="F137" s="37">
        <f>L136</f>
        <v>0.60624999999999996</v>
      </c>
      <c r="G137" s="38">
        <f>IF((L137-F137)&gt;0,K137-E137,IF((L137-F137)=0,0,K137-E137 -$F$401))</f>
        <v>0</v>
      </c>
      <c r="H137" s="37">
        <f>IF((L137-F137)&gt;0,L137-F137,IF((L137-F137)=0,0,$H$401+L137-F137))</f>
        <v>0</v>
      </c>
      <c r="I137" s="35">
        <f t="shared" ref="I137:I200" si="12">DATE(J137,1,K137)</f>
        <v>42722</v>
      </c>
      <c r="J137" s="36">
        <f>D138</f>
        <v>2016</v>
      </c>
      <c r="K137" s="36">
        <f>E138</f>
        <v>353</v>
      </c>
      <c r="L137" s="37">
        <f>F138</f>
        <v>0.60624999999999996</v>
      </c>
      <c r="M137" s="41"/>
      <c r="N137" s="42"/>
      <c r="O137" s="43">
        <f>IF(VALUE(LEFT($O138,3))&lt;192,50,IF(VALUE(LEFT($O138,3))&gt;597,50,VLOOKUP(VLOOKUP(VALUE(LEFT($O138,3)),'CIRS Table Info'!$B$6:$J$425,2,FALSE),'CIRS Table Info'!$B$428:$C$431,2,FALSE)))</f>
        <v>600</v>
      </c>
      <c r="P137" s="44">
        <f>IF(O137=50,10,1)</f>
        <v>1</v>
      </c>
    </row>
    <row r="138" spans="1:16" x14ac:dyDescent="0.2">
      <c r="A138" s="21">
        <v>64</v>
      </c>
      <c r="B138" s="45" t="s">
        <v>461</v>
      </c>
      <c r="C138" s="35">
        <f t="shared" si="11"/>
        <v>42722</v>
      </c>
      <c r="D138" s="39">
        <v>2016</v>
      </c>
      <c r="E138" s="40">
        <v>353</v>
      </c>
      <c r="F138" s="37">
        <v>0.60624999999999996</v>
      </c>
      <c r="G138" s="38">
        <v>0</v>
      </c>
      <c r="H138" s="37">
        <v>0.163194444444444</v>
      </c>
      <c r="I138" s="35">
        <f t="shared" si="12"/>
        <v>42722</v>
      </c>
      <c r="J138" s="47">
        <v>2016</v>
      </c>
      <c r="K138" s="36">
        <v>353</v>
      </c>
      <c r="L138" s="37">
        <v>0.76944444444444404</v>
      </c>
      <c r="M138" s="43">
        <v>2200</v>
      </c>
      <c r="N138" s="43">
        <v>31.02</v>
      </c>
      <c r="O138" s="471" t="s">
        <v>642</v>
      </c>
      <c r="P138" s="472" t="s">
        <v>639</v>
      </c>
    </row>
    <row r="139" spans="1:16" x14ac:dyDescent="0.2">
      <c r="A139" s="21"/>
      <c r="B139" s="45" t="s">
        <v>104</v>
      </c>
      <c r="C139" s="35">
        <f t="shared" si="11"/>
        <v>42722</v>
      </c>
      <c r="D139" s="36">
        <f>J138</f>
        <v>2016</v>
      </c>
      <c r="E139" s="36">
        <f>K138</f>
        <v>353</v>
      </c>
      <c r="F139" s="37">
        <f>L138</f>
        <v>0.76944444444444404</v>
      </c>
      <c r="G139" s="38">
        <f>IF((L139-F139)&gt;0,K139-E139,IF((L139-F139)=0,0,K139-E139 -$F$401))</f>
        <v>0</v>
      </c>
      <c r="H139" s="37">
        <f>IF((L139-F139)&gt;0,L139-F139,IF((L139-F139)=0,0,$H$401+L139-F139))</f>
        <v>0</v>
      </c>
      <c r="I139" s="35">
        <f t="shared" si="12"/>
        <v>42722</v>
      </c>
      <c r="J139" s="36">
        <f>D140</f>
        <v>2016</v>
      </c>
      <c r="K139" s="36">
        <f>E140</f>
        <v>353</v>
      </c>
      <c r="L139" s="37">
        <f>F140</f>
        <v>0.76944444444444404</v>
      </c>
      <c r="M139" s="41"/>
      <c r="N139" s="42"/>
      <c r="O139" s="43">
        <f>IF(VALUE(LEFT($O140,3))&lt;192,50,IF(VALUE(LEFT($O140,3))&gt;597,50,VLOOKUP(VLOOKUP(VALUE(LEFT($O140,3)),'CIRS Table Info'!$B$6:$J$425,2,FALSE),'CIRS Table Info'!$B$428:$C$431,2,FALSE)))</f>
        <v>600</v>
      </c>
      <c r="P139" s="44">
        <f>IF(O139=50,10,1)</f>
        <v>1</v>
      </c>
    </row>
    <row r="140" spans="1:16" x14ac:dyDescent="0.2">
      <c r="A140" s="21">
        <v>65</v>
      </c>
      <c r="B140" s="45" t="s">
        <v>464</v>
      </c>
      <c r="C140" s="35">
        <f t="shared" si="11"/>
        <v>42722</v>
      </c>
      <c r="D140" s="39">
        <v>2016</v>
      </c>
      <c r="E140" s="40">
        <v>353</v>
      </c>
      <c r="F140" s="37">
        <v>0.76944444444444404</v>
      </c>
      <c r="G140" s="38">
        <v>0</v>
      </c>
      <c r="H140" s="37">
        <v>6.31944444444444E-2</v>
      </c>
      <c r="I140" s="35">
        <f t="shared" si="12"/>
        <v>42722</v>
      </c>
      <c r="J140" s="47">
        <v>2016</v>
      </c>
      <c r="K140" s="36">
        <v>353</v>
      </c>
      <c r="L140" s="37">
        <v>0.83263888888888904</v>
      </c>
      <c r="M140" s="43">
        <v>2200</v>
      </c>
      <c r="N140" s="43">
        <v>12.012</v>
      </c>
      <c r="O140" s="43">
        <v>400</v>
      </c>
      <c r="P140" s="44">
        <f>IF(O140=50,10,1)</f>
        <v>1</v>
      </c>
    </row>
    <row r="141" spans="1:16" x14ac:dyDescent="0.2">
      <c r="A141" s="21"/>
      <c r="B141" s="45" t="s">
        <v>105</v>
      </c>
      <c r="C141" s="35">
        <f t="shared" si="11"/>
        <v>42722</v>
      </c>
      <c r="D141" s="36">
        <f>J140</f>
        <v>2016</v>
      </c>
      <c r="E141" s="36">
        <f>K140</f>
        <v>353</v>
      </c>
      <c r="F141" s="37">
        <f>L140</f>
        <v>0.83263888888888904</v>
      </c>
      <c r="G141" s="38">
        <f>IF((L141-F141)&gt;0,K141-E141,IF((L141-F141)=0,0,K141-E141 -$F$401))</f>
        <v>0</v>
      </c>
      <c r="H141" s="37">
        <f>IF((L141-F141)&gt;0,L141-F141,IF((L141-F141)=0,0,$H$401+L141-F141))</f>
        <v>0</v>
      </c>
      <c r="I141" s="35">
        <f t="shared" si="12"/>
        <v>42722</v>
      </c>
      <c r="J141" s="36">
        <f>D142</f>
        <v>2016</v>
      </c>
      <c r="K141" s="36">
        <f>E142</f>
        <v>353</v>
      </c>
      <c r="L141" s="37">
        <f>F142</f>
        <v>0.83263888888888904</v>
      </c>
      <c r="M141" s="41"/>
      <c r="N141" s="42"/>
      <c r="O141" s="43">
        <f>IF(VALUE(LEFT($O142,3))&lt;192,50,IF(VALUE(LEFT($O142,3))&gt;597,50,VLOOKUP(VLOOKUP(VALUE(LEFT($O142,3)),'CIRS Table Info'!$B$6:$J$425,2,FALSE),'CIRS Table Info'!$B$428:$C$431,2,FALSE)))</f>
        <v>600</v>
      </c>
      <c r="P141" s="44">
        <f>IF(O141=50,10,1)</f>
        <v>1</v>
      </c>
    </row>
    <row r="142" spans="1:16" x14ac:dyDescent="0.2">
      <c r="A142" s="21">
        <v>66</v>
      </c>
      <c r="B142" s="45" t="s">
        <v>465</v>
      </c>
      <c r="C142" s="35">
        <f t="shared" si="11"/>
        <v>42722</v>
      </c>
      <c r="D142" s="39">
        <v>2016</v>
      </c>
      <c r="E142" s="40">
        <v>353</v>
      </c>
      <c r="F142" s="37">
        <v>0.83263888888888904</v>
      </c>
      <c r="G142" s="38">
        <v>0</v>
      </c>
      <c r="H142" s="37">
        <v>7.9861111111111105E-2</v>
      </c>
      <c r="I142" s="35">
        <f t="shared" si="12"/>
        <v>42722</v>
      </c>
      <c r="J142" s="47">
        <v>2016</v>
      </c>
      <c r="K142" s="36">
        <v>353</v>
      </c>
      <c r="L142" s="37">
        <v>0.91249999999999998</v>
      </c>
      <c r="M142" s="43">
        <v>4000</v>
      </c>
      <c r="N142" s="43">
        <v>27.6</v>
      </c>
      <c r="O142" s="43">
        <v>405</v>
      </c>
      <c r="P142" s="44">
        <v>1</v>
      </c>
    </row>
    <row r="143" spans="1:16" x14ac:dyDescent="0.2">
      <c r="A143" s="21"/>
      <c r="B143" s="45" t="s">
        <v>106</v>
      </c>
      <c r="C143" s="35">
        <f t="shared" si="11"/>
        <v>42722</v>
      </c>
      <c r="D143" s="36">
        <f>J142</f>
        <v>2016</v>
      </c>
      <c r="E143" s="36">
        <f>K142</f>
        <v>353</v>
      </c>
      <c r="F143" s="37">
        <f>L142</f>
        <v>0.91249999999999998</v>
      </c>
      <c r="G143" s="38">
        <f>IF((L143-F143)&gt;0,K143-E143,IF((L143-F143)=0,0,K143-E143 -$F$401))</f>
        <v>0</v>
      </c>
      <c r="H143" s="37">
        <f>IF((L143-F143)&gt;0,L143-F143,IF((L143-F143)=0,0,$H$401+L143-F143))</f>
        <v>0</v>
      </c>
      <c r="I143" s="35">
        <f t="shared" si="12"/>
        <v>42722</v>
      </c>
      <c r="J143" s="36">
        <f>D144</f>
        <v>2016</v>
      </c>
      <c r="K143" s="36">
        <f>E144</f>
        <v>353</v>
      </c>
      <c r="L143" s="37">
        <f>F144</f>
        <v>0.91249999999999998</v>
      </c>
      <c r="M143" s="41"/>
      <c r="N143" s="42"/>
      <c r="O143" s="43">
        <f>IF(VALUE(LEFT($O144,3))&lt;192,50,IF(VALUE(LEFT($O144,3))&gt;597,50,VLOOKUP(VLOOKUP(VALUE(LEFT($O144,3)),'CIRS Table Info'!$B$6:$J$425,2,FALSE),'CIRS Table Info'!$B$428:$C$431,2,FALSE)))</f>
        <v>600</v>
      </c>
      <c r="P143" s="44">
        <f>IF(O143=50,10,1)</f>
        <v>1</v>
      </c>
    </row>
    <row r="144" spans="1:16" x14ac:dyDescent="0.2">
      <c r="A144" s="21">
        <v>67</v>
      </c>
      <c r="B144" s="45" t="s">
        <v>466</v>
      </c>
      <c r="C144" s="35">
        <f t="shared" si="11"/>
        <v>42722</v>
      </c>
      <c r="D144" s="39">
        <v>2016</v>
      </c>
      <c r="E144" s="40">
        <v>353</v>
      </c>
      <c r="F144" s="37">
        <v>0.91249999999999998</v>
      </c>
      <c r="G144" s="38">
        <v>0</v>
      </c>
      <c r="H144" s="37">
        <v>6.0416666666666702E-2</v>
      </c>
      <c r="I144" s="35">
        <f t="shared" si="12"/>
        <v>42722</v>
      </c>
      <c r="J144" s="47">
        <v>2016</v>
      </c>
      <c r="K144" s="36">
        <v>353</v>
      </c>
      <c r="L144" s="37">
        <v>0.97291666666666698</v>
      </c>
      <c r="M144" s="43">
        <v>2200</v>
      </c>
      <c r="N144" s="43">
        <v>11.484</v>
      </c>
      <c r="O144" s="43">
        <v>400</v>
      </c>
      <c r="P144" s="44">
        <f>IF(O144=50,10,1)</f>
        <v>1</v>
      </c>
    </row>
    <row r="145" spans="1:16" x14ac:dyDescent="0.2">
      <c r="A145" s="21"/>
      <c r="B145" s="45" t="s">
        <v>107</v>
      </c>
      <c r="C145" s="35">
        <f t="shared" si="11"/>
        <v>42722</v>
      </c>
      <c r="D145" s="36">
        <f>J144</f>
        <v>2016</v>
      </c>
      <c r="E145" s="36">
        <f>K144</f>
        <v>353</v>
      </c>
      <c r="F145" s="37">
        <f>L144</f>
        <v>0.97291666666666698</v>
      </c>
      <c r="G145" s="38">
        <f>IF((L145-F145)&gt;0,K145-E145,IF((L145-F145)=0,0,K145-E145 -$F$401))</f>
        <v>0</v>
      </c>
      <c r="H145" s="37">
        <f>IF((L145-F145)&gt;0,L145-F145,IF((L145-F145)=0,0,$H$401+L145-F145))</f>
        <v>0</v>
      </c>
      <c r="I145" s="35">
        <f t="shared" si="12"/>
        <v>42722</v>
      </c>
      <c r="J145" s="36">
        <f>D146</f>
        <v>2016</v>
      </c>
      <c r="K145" s="36">
        <f>E146</f>
        <v>353</v>
      </c>
      <c r="L145" s="37">
        <f>F146</f>
        <v>0.97291666666666698</v>
      </c>
      <c r="M145" s="41"/>
      <c r="N145" s="42"/>
      <c r="O145" s="43">
        <f>IF(VALUE(LEFT($O146,3))&lt;192,50,IF(VALUE(LEFT($O146,3))&gt;597,50,VLOOKUP(VLOOKUP(VALUE(LEFT($O146,3)),'CIRS Table Info'!$B$6:$J$425,2,FALSE),'CIRS Table Info'!$B$428:$C$431,2,FALSE)))</f>
        <v>600</v>
      </c>
      <c r="P145" s="44">
        <f>IF(O145=50,10,1)</f>
        <v>1</v>
      </c>
    </row>
    <row r="146" spans="1:16" x14ac:dyDescent="0.2">
      <c r="A146" s="21">
        <v>68</v>
      </c>
      <c r="B146" s="45" t="s">
        <v>467</v>
      </c>
      <c r="C146" s="35">
        <f t="shared" si="11"/>
        <v>42722</v>
      </c>
      <c r="D146" s="39">
        <v>2016</v>
      </c>
      <c r="E146" s="40">
        <v>353</v>
      </c>
      <c r="F146" s="37">
        <v>0.97291666666666698</v>
      </c>
      <c r="G146" s="38">
        <v>0</v>
      </c>
      <c r="H146" s="37">
        <v>0.16666666666666699</v>
      </c>
      <c r="I146" s="35">
        <f t="shared" si="12"/>
        <v>42723</v>
      </c>
      <c r="J146" s="47">
        <v>2016</v>
      </c>
      <c r="K146" s="36">
        <v>354</v>
      </c>
      <c r="L146" s="37">
        <v>0.139583333333333</v>
      </c>
      <c r="M146" s="43">
        <v>2200</v>
      </c>
      <c r="N146" s="43">
        <v>31.68</v>
      </c>
      <c r="O146" s="471" t="s">
        <v>642</v>
      </c>
      <c r="P146" s="472" t="s">
        <v>639</v>
      </c>
    </row>
    <row r="147" spans="1:16" x14ac:dyDescent="0.2">
      <c r="A147" s="21"/>
      <c r="B147" s="45" t="s">
        <v>108</v>
      </c>
      <c r="C147" s="35">
        <f t="shared" si="11"/>
        <v>42723</v>
      </c>
      <c r="D147" s="36">
        <f>J146</f>
        <v>2016</v>
      </c>
      <c r="E147" s="36">
        <f>K146</f>
        <v>354</v>
      </c>
      <c r="F147" s="37">
        <f>L146</f>
        <v>0.139583333333333</v>
      </c>
      <c r="G147" s="38">
        <f>IF((L147-F147)&gt;0,K147-E147,IF((L147-F147)=0,0,K147-E147 -$F$401))</f>
        <v>0</v>
      </c>
      <c r="H147" s="37">
        <f>IF((L147-F147)&gt;0,L147-F147,IF((L147-F147)=0,0,$H$401+L147-F147))</f>
        <v>0</v>
      </c>
      <c r="I147" s="35">
        <f t="shared" si="12"/>
        <v>42723</v>
      </c>
      <c r="J147" s="36">
        <f>D148</f>
        <v>2016</v>
      </c>
      <c r="K147" s="36">
        <f>E148</f>
        <v>354</v>
      </c>
      <c r="L147" s="37">
        <f>F148</f>
        <v>0.139583333333333</v>
      </c>
      <c r="M147" s="41"/>
      <c r="N147" s="42"/>
      <c r="O147" s="43">
        <f>IF(VALUE(LEFT($O148,3))&lt;192,50,IF(VALUE(LEFT($O148,3))&gt;597,50,VLOOKUP(VLOOKUP(VALUE(LEFT($O148,3)),'CIRS Table Info'!$B$6:$J$425,2,FALSE),'CIRS Table Info'!$B$428:$C$431,2,FALSE)))</f>
        <v>600</v>
      </c>
      <c r="P147" s="44">
        <f>IF(O147=50,10,1)</f>
        <v>1</v>
      </c>
    </row>
    <row r="148" spans="1:16" x14ac:dyDescent="0.2">
      <c r="A148" s="21">
        <v>69</v>
      </c>
      <c r="B148" s="45" t="s">
        <v>469</v>
      </c>
      <c r="C148" s="35">
        <f t="shared" si="11"/>
        <v>42723</v>
      </c>
      <c r="D148" s="39">
        <v>2016</v>
      </c>
      <c r="E148" s="40">
        <v>354</v>
      </c>
      <c r="F148" s="37">
        <v>0.139583333333333</v>
      </c>
      <c r="G148" s="38">
        <v>0</v>
      </c>
      <c r="H148" s="37">
        <v>4.1666666666666699E-2</v>
      </c>
      <c r="I148" s="35">
        <f t="shared" si="12"/>
        <v>42723</v>
      </c>
      <c r="J148" s="47">
        <v>2016</v>
      </c>
      <c r="K148" s="36">
        <v>354</v>
      </c>
      <c r="L148" s="37">
        <v>0.18124999999999999</v>
      </c>
      <c r="M148" s="43">
        <v>400</v>
      </c>
      <c r="N148" s="43">
        <v>1.44</v>
      </c>
      <c r="O148" s="43">
        <v>192</v>
      </c>
      <c r="P148" s="44">
        <f>IF(O148=50,10,1)</f>
        <v>1</v>
      </c>
    </row>
    <row r="149" spans="1:16" x14ac:dyDescent="0.2">
      <c r="A149" s="21"/>
      <c r="B149" s="45" t="s">
        <v>109</v>
      </c>
      <c r="C149" s="35">
        <f t="shared" si="11"/>
        <v>42723</v>
      </c>
      <c r="D149" s="36">
        <f>J148</f>
        <v>2016</v>
      </c>
      <c r="E149" s="36">
        <f>K148</f>
        <v>354</v>
      </c>
      <c r="F149" s="37">
        <f>L148</f>
        <v>0.18124999999999999</v>
      </c>
      <c r="G149" s="38">
        <f>IF((L149-F149)&gt;0,K149-E149,IF((L149-F149)=0,0,K149-E149 -$F$401))</f>
        <v>0</v>
      </c>
      <c r="H149" s="37">
        <f>IF((L149-F149)&gt;0,L149-F149,IF((L149-F149)=0,0,$H$401+L149-F149))</f>
        <v>0</v>
      </c>
      <c r="I149" s="35">
        <f t="shared" si="12"/>
        <v>42723</v>
      </c>
      <c r="J149" s="36">
        <f>D150</f>
        <v>2016</v>
      </c>
      <c r="K149" s="36">
        <f>E150</f>
        <v>354</v>
      </c>
      <c r="L149" s="37">
        <f>F150</f>
        <v>0.18124999999999999</v>
      </c>
      <c r="M149" s="41"/>
      <c r="N149" s="42"/>
      <c r="O149" s="43">
        <f>IF(VALUE(LEFT($O150,3))&lt;192,50,IF(VALUE(LEFT($O150,3))&gt;597,50,VLOOKUP(VLOOKUP(VALUE(LEFT($O150,3)),'CIRS Table Info'!$B$6:$J$425,2,FALSE),'CIRS Table Info'!$B$428:$C$431,2,FALSE)))</f>
        <v>600</v>
      </c>
      <c r="P149" s="44">
        <f>IF(O149=50,10,1)</f>
        <v>1</v>
      </c>
    </row>
    <row r="150" spans="1:16" x14ac:dyDescent="0.2">
      <c r="A150" s="21">
        <v>70</v>
      </c>
      <c r="B150" s="45" t="s">
        <v>470</v>
      </c>
      <c r="C150" s="35">
        <f t="shared" si="11"/>
        <v>42723</v>
      </c>
      <c r="D150" s="39">
        <v>2016</v>
      </c>
      <c r="E150" s="40">
        <v>354</v>
      </c>
      <c r="F150" s="37">
        <v>0.18124999999999999</v>
      </c>
      <c r="G150" s="38">
        <v>0</v>
      </c>
      <c r="H150" s="37">
        <v>0.16666666666666699</v>
      </c>
      <c r="I150" s="35">
        <f t="shared" si="12"/>
        <v>42723</v>
      </c>
      <c r="J150" s="47">
        <v>2016</v>
      </c>
      <c r="K150" s="36">
        <v>354</v>
      </c>
      <c r="L150" s="37">
        <v>0.34791666666666698</v>
      </c>
      <c r="M150" s="43">
        <v>2200</v>
      </c>
      <c r="N150" s="43">
        <v>31.68</v>
      </c>
      <c r="O150" s="471" t="s">
        <v>642</v>
      </c>
      <c r="P150" s="472" t="s">
        <v>639</v>
      </c>
    </row>
    <row r="151" spans="1:16" x14ac:dyDescent="0.2">
      <c r="A151" s="21"/>
      <c r="B151" s="45" t="s">
        <v>110</v>
      </c>
      <c r="C151" s="35">
        <f t="shared" si="11"/>
        <v>42723</v>
      </c>
      <c r="D151" s="36">
        <f>J150</f>
        <v>2016</v>
      </c>
      <c r="E151" s="36">
        <f>K150</f>
        <v>354</v>
      </c>
      <c r="F151" s="37">
        <f>L150</f>
        <v>0.34791666666666698</v>
      </c>
      <c r="G151" s="38">
        <f>IF((L151-F151)&gt;0,K151-E151,IF((L151-F151)=0,0,K151-E151 -$F$401))</f>
        <v>0</v>
      </c>
      <c r="H151" s="37">
        <f>IF((L151-F151)&gt;0,L151-F151,IF((L151-F151)=0,0,$H$401+L151-F151))</f>
        <v>0.56111111111111101</v>
      </c>
      <c r="I151" s="35">
        <f t="shared" si="12"/>
        <v>42723</v>
      </c>
      <c r="J151" s="36">
        <f>D152</f>
        <v>2016</v>
      </c>
      <c r="K151" s="36">
        <f>E152</f>
        <v>354</v>
      </c>
      <c r="L151" s="37">
        <f>F152</f>
        <v>0.90902777777777799</v>
      </c>
      <c r="M151" s="41"/>
      <c r="N151" s="42"/>
      <c r="O151" s="43">
        <f>IF(VALUE(LEFT($O152,3))&lt;192,50,IF(VALUE(LEFT($O152,3))&gt;597,50,VLOOKUP(VLOOKUP(VALUE(LEFT($O152,3)),'CIRS Table Info'!$B$6:$J$425,2,FALSE),'CIRS Table Info'!$B$428:$C$431,2,FALSE)))</f>
        <v>50</v>
      </c>
      <c r="P151" s="44">
        <f t="shared" ref="P151:P157" si="13">IF(O151=50,10,1)</f>
        <v>10</v>
      </c>
    </row>
    <row r="152" spans="1:16" x14ac:dyDescent="0.2">
      <c r="A152" s="21">
        <v>71</v>
      </c>
      <c r="B152" s="45" t="s">
        <v>475</v>
      </c>
      <c r="C152" s="35">
        <f t="shared" si="11"/>
        <v>42723</v>
      </c>
      <c r="D152" s="39">
        <v>2016</v>
      </c>
      <c r="E152" s="40">
        <v>354</v>
      </c>
      <c r="F152" s="37">
        <v>0.90902777777777799</v>
      </c>
      <c r="G152" s="38">
        <v>0</v>
      </c>
      <c r="H152" s="37">
        <v>0.34722222222222199</v>
      </c>
      <c r="I152" s="35">
        <f t="shared" si="12"/>
        <v>42724</v>
      </c>
      <c r="J152" s="47">
        <v>2016</v>
      </c>
      <c r="K152" s="36">
        <v>355</v>
      </c>
      <c r="L152" s="37">
        <v>0.25624999999999998</v>
      </c>
      <c r="M152" s="43">
        <v>3000</v>
      </c>
      <c r="N152" s="43">
        <v>90</v>
      </c>
      <c r="O152" s="43">
        <f>IF(MID(B152,6,7)="NO_DATA",50,IF(N152=0,50,IF(A152="", " ",820)))</f>
        <v>820</v>
      </c>
      <c r="P152" s="44">
        <f t="shared" si="13"/>
        <v>1</v>
      </c>
    </row>
    <row r="153" spans="1:16" x14ac:dyDescent="0.2">
      <c r="A153" s="21"/>
      <c r="B153" s="45" t="s">
        <v>111</v>
      </c>
      <c r="C153" s="35">
        <f t="shared" si="11"/>
        <v>42724</v>
      </c>
      <c r="D153" s="36">
        <f>J152</f>
        <v>2016</v>
      </c>
      <c r="E153" s="36">
        <f>K152</f>
        <v>355</v>
      </c>
      <c r="F153" s="37">
        <f>L152</f>
        <v>0.25624999999999998</v>
      </c>
      <c r="G153" s="38">
        <f>IF((L153-F153)&gt;0,K153-E153,IF((L153-F153)=0,0,K153-E153 -$F$401))</f>
        <v>0</v>
      </c>
      <c r="H153" s="37">
        <f>IF((L153-F153)&gt;0,L153-F153,IF((L153-F153)=0,0,$H$401+L153-F153))</f>
        <v>2.7777777777778012E-2</v>
      </c>
      <c r="I153" s="35">
        <f t="shared" si="12"/>
        <v>42724</v>
      </c>
      <c r="J153" s="36">
        <f>D154</f>
        <v>2016</v>
      </c>
      <c r="K153" s="36">
        <f>E154</f>
        <v>355</v>
      </c>
      <c r="L153" s="37">
        <f>F154</f>
        <v>0.28402777777777799</v>
      </c>
      <c r="M153" s="41"/>
      <c r="N153" s="42"/>
      <c r="O153" s="43">
        <f>IF(VALUE(LEFT($O154,3))&lt;192,50,IF(VALUE(LEFT($O154,3))&gt;597,50,VLOOKUP(VLOOKUP(VALUE(LEFT($O154,3)),'CIRS Table Info'!$B$6:$J$425,2,FALSE),'CIRS Table Info'!$B$428:$C$431,2,FALSE)))</f>
        <v>606</v>
      </c>
      <c r="P153" s="44">
        <f t="shared" si="13"/>
        <v>1</v>
      </c>
    </row>
    <row r="154" spans="1:16" x14ac:dyDescent="0.2">
      <c r="A154" s="21">
        <v>72</v>
      </c>
      <c r="B154" s="45" t="s">
        <v>476</v>
      </c>
      <c r="C154" s="35">
        <f t="shared" si="11"/>
        <v>42724</v>
      </c>
      <c r="D154" s="39">
        <v>2016</v>
      </c>
      <c r="E154" s="40">
        <v>355</v>
      </c>
      <c r="F154" s="37">
        <v>0.28402777777777799</v>
      </c>
      <c r="G154" s="38">
        <v>0</v>
      </c>
      <c r="H154" s="37">
        <v>6.25E-2</v>
      </c>
      <c r="I154" s="35">
        <f t="shared" si="12"/>
        <v>42724</v>
      </c>
      <c r="J154" s="47">
        <v>2016</v>
      </c>
      <c r="K154" s="36">
        <v>355</v>
      </c>
      <c r="L154" s="37">
        <v>0.34652777777777799</v>
      </c>
      <c r="M154" s="43">
        <v>4000</v>
      </c>
      <c r="N154" s="43">
        <v>21.6</v>
      </c>
      <c r="O154" s="43">
        <v>341</v>
      </c>
      <c r="P154" s="44">
        <f t="shared" si="13"/>
        <v>1</v>
      </c>
    </row>
    <row r="155" spans="1:16" x14ac:dyDescent="0.2">
      <c r="A155" s="21"/>
      <c r="B155" s="45" t="s">
        <v>112</v>
      </c>
      <c r="C155" s="35">
        <f t="shared" si="11"/>
        <v>42724</v>
      </c>
      <c r="D155" s="36">
        <f>J154</f>
        <v>2016</v>
      </c>
      <c r="E155" s="36">
        <f>K154</f>
        <v>355</v>
      </c>
      <c r="F155" s="37">
        <f>L154</f>
        <v>0.34652777777777799</v>
      </c>
      <c r="G155" s="38">
        <f>IF((L155-F155)&gt;0,K155-E155,IF((L155-F155)=0,0,K155-E155 -$F$401))</f>
        <v>0</v>
      </c>
      <c r="H155" s="37">
        <f>IF((L155-F155)&gt;0,L155-F155,IF((L155-F155)=0,0,$H$401+L155-F155))</f>
        <v>0</v>
      </c>
      <c r="I155" s="35">
        <f t="shared" si="12"/>
        <v>42724</v>
      </c>
      <c r="J155" s="36">
        <f>D156</f>
        <v>2016</v>
      </c>
      <c r="K155" s="36">
        <f>E156</f>
        <v>355</v>
      </c>
      <c r="L155" s="37">
        <f>F156</f>
        <v>0.34652777777777799</v>
      </c>
      <c r="M155" s="41"/>
      <c r="N155" s="42"/>
      <c r="O155" s="43">
        <f>IF(VALUE(LEFT($O156,3))&lt;192,50,IF(VALUE(LEFT($O156,3))&gt;597,50,VLOOKUP(VLOOKUP(VALUE(LEFT($O156,3)),'CIRS Table Info'!$B$6:$J$425,2,FALSE),'CIRS Table Info'!$B$428:$C$431,2,FALSE)))</f>
        <v>600</v>
      </c>
      <c r="P155" s="44">
        <f t="shared" si="13"/>
        <v>1</v>
      </c>
    </row>
    <row r="156" spans="1:16" x14ac:dyDescent="0.2">
      <c r="A156" s="21">
        <v>73</v>
      </c>
      <c r="B156" s="45" t="s">
        <v>477</v>
      </c>
      <c r="C156" s="35">
        <f t="shared" si="11"/>
        <v>42724</v>
      </c>
      <c r="D156" s="39">
        <v>2016</v>
      </c>
      <c r="E156" s="40">
        <v>355</v>
      </c>
      <c r="F156" s="37">
        <v>0.34652777777777799</v>
      </c>
      <c r="G156" s="38">
        <v>0</v>
      </c>
      <c r="H156" s="37">
        <v>0.17777777777777801</v>
      </c>
      <c r="I156" s="35">
        <f t="shared" si="12"/>
        <v>42724</v>
      </c>
      <c r="J156" s="47">
        <v>2016</v>
      </c>
      <c r="K156" s="36">
        <v>355</v>
      </c>
      <c r="L156" s="37">
        <v>0.52430555555555602</v>
      </c>
      <c r="M156" s="43">
        <v>4000</v>
      </c>
      <c r="N156" s="43">
        <v>61.44</v>
      </c>
      <c r="O156" s="43">
        <v>553</v>
      </c>
      <c r="P156" s="44">
        <f t="shared" si="13"/>
        <v>1</v>
      </c>
    </row>
    <row r="157" spans="1:16" x14ac:dyDescent="0.2">
      <c r="A157" s="21"/>
      <c r="B157" s="45" t="s">
        <v>113</v>
      </c>
      <c r="C157" s="35">
        <f t="shared" si="11"/>
        <v>42724</v>
      </c>
      <c r="D157" s="36">
        <f>J156</f>
        <v>2016</v>
      </c>
      <c r="E157" s="36">
        <f>K156</f>
        <v>355</v>
      </c>
      <c r="F157" s="37">
        <f>L156</f>
        <v>0.52430555555555602</v>
      </c>
      <c r="G157" s="38">
        <f>IF((L157-F157)&gt;0,K157-E157,IF((L157-F157)=0,0,K157-E157 -$F$401))</f>
        <v>0</v>
      </c>
      <c r="H157" s="37">
        <f>IF((L157-F157)&gt;0,L157-F157,IF((L157-F157)=0,0,$H$401+L157-F157))</f>
        <v>0</v>
      </c>
      <c r="I157" s="35">
        <f t="shared" si="12"/>
        <v>42724</v>
      </c>
      <c r="J157" s="36">
        <f>D158</f>
        <v>2016</v>
      </c>
      <c r="K157" s="36">
        <f>E158</f>
        <v>355</v>
      </c>
      <c r="L157" s="37">
        <f>F158</f>
        <v>0.52430555555555602</v>
      </c>
      <c r="M157" s="41"/>
      <c r="N157" s="42"/>
      <c r="O157" s="43">
        <f>IF(VALUE(LEFT($O158,3))&lt;192,50,IF(VALUE(LEFT($O158,3))&gt;597,50,VLOOKUP(VLOOKUP(VALUE(LEFT($O158,3)),'CIRS Table Info'!$B$6:$J$425,2,FALSE),'CIRS Table Info'!$B$428:$C$431,2,FALSE)))</f>
        <v>602</v>
      </c>
      <c r="P157" s="44">
        <f t="shared" si="13"/>
        <v>1</v>
      </c>
    </row>
    <row r="158" spans="1:16" x14ac:dyDescent="0.2">
      <c r="A158" s="21">
        <v>74</v>
      </c>
      <c r="B158" s="45" t="s">
        <v>478</v>
      </c>
      <c r="C158" s="35">
        <f t="shared" si="11"/>
        <v>42724</v>
      </c>
      <c r="D158" s="39">
        <v>2016</v>
      </c>
      <c r="E158" s="40">
        <v>355</v>
      </c>
      <c r="F158" s="37">
        <v>0.52430555555555602</v>
      </c>
      <c r="G158" s="38">
        <v>0</v>
      </c>
      <c r="H158" s="37">
        <v>0.20833333333333301</v>
      </c>
      <c r="I158" s="35">
        <f t="shared" si="12"/>
        <v>42724</v>
      </c>
      <c r="J158" s="47">
        <v>2016</v>
      </c>
      <c r="K158" s="36">
        <v>355</v>
      </c>
      <c r="L158" s="37">
        <v>0.73263888888888895</v>
      </c>
      <c r="M158" s="43">
        <v>4000</v>
      </c>
      <c r="N158" s="43">
        <v>72</v>
      </c>
      <c r="O158" s="471" t="s">
        <v>641</v>
      </c>
      <c r="P158" s="472" t="s">
        <v>639</v>
      </c>
    </row>
    <row r="159" spans="1:16" x14ac:dyDescent="0.2">
      <c r="A159" s="21"/>
      <c r="B159" s="45" t="s">
        <v>114</v>
      </c>
      <c r="C159" s="35">
        <f t="shared" si="11"/>
        <v>42724</v>
      </c>
      <c r="D159" s="36">
        <f>J158</f>
        <v>2016</v>
      </c>
      <c r="E159" s="36">
        <f>K158</f>
        <v>355</v>
      </c>
      <c r="F159" s="37">
        <f>L158</f>
        <v>0.73263888888888895</v>
      </c>
      <c r="G159" s="38">
        <f>IF((L159-F159)&gt;0,K159-E159,IF((L159-F159)=0,0,K159-E159 -$F$401))</f>
        <v>0</v>
      </c>
      <c r="H159" s="37">
        <f>IF((L159-F159)&gt;0,L159-F159,IF((L159-F159)=0,0,$H$401+L159-F159))</f>
        <v>0.13263888888888908</v>
      </c>
      <c r="I159" s="35">
        <f t="shared" si="12"/>
        <v>42724</v>
      </c>
      <c r="J159" s="36">
        <f>D160</f>
        <v>2016</v>
      </c>
      <c r="K159" s="36">
        <f>E160</f>
        <v>355</v>
      </c>
      <c r="L159" s="37">
        <f>F160</f>
        <v>0.86527777777777803</v>
      </c>
      <c r="M159" s="41"/>
      <c r="N159" s="42"/>
      <c r="O159" s="43">
        <f>IF(VALUE(LEFT($O160,3))&lt;192,50,IF(VALUE(LEFT($O160,3))&gt;597,50,VLOOKUP(VLOOKUP(VALUE(LEFT($O160,3)),'CIRS Table Info'!$B$6:$J$425,2,FALSE),'CIRS Table Info'!$B$428:$C$431,2,FALSE)))</f>
        <v>50</v>
      </c>
      <c r="P159" s="44">
        <f t="shared" ref="P159:P167" si="14">IF(O159=50,10,1)</f>
        <v>10</v>
      </c>
    </row>
    <row r="160" spans="1:16" x14ac:dyDescent="0.2">
      <c r="A160" s="21">
        <v>75</v>
      </c>
      <c r="B160" s="45" t="s">
        <v>482</v>
      </c>
      <c r="C160" s="35">
        <f t="shared" si="11"/>
        <v>42724</v>
      </c>
      <c r="D160" s="39">
        <v>2016</v>
      </c>
      <c r="E160" s="40">
        <v>355</v>
      </c>
      <c r="F160" s="37">
        <v>0.86527777777777803</v>
      </c>
      <c r="G160" s="38">
        <v>0</v>
      </c>
      <c r="H160" s="37">
        <v>0.30902777777777801</v>
      </c>
      <c r="I160" s="35">
        <f t="shared" si="12"/>
        <v>42725</v>
      </c>
      <c r="J160" s="47">
        <v>2016</v>
      </c>
      <c r="K160" s="36">
        <v>356</v>
      </c>
      <c r="L160" s="37">
        <v>0.17430555555555599</v>
      </c>
      <c r="M160" s="43">
        <v>3000</v>
      </c>
      <c r="N160" s="43">
        <v>80.099999999999994</v>
      </c>
      <c r="O160" s="43">
        <f>IF(MID(B160,6,7)="NO_DATA",50,IF(N160=0,50,IF(A160="", " ",824)))</f>
        <v>824</v>
      </c>
      <c r="P160" s="44">
        <f t="shared" si="14"/>
        <v>1</v>
      </c>
    </row>
    <row r="161" spans="1:16" x14ac:dyDescent="0.2">
      <c r="A161" s="21"/>
      <c r="B161" s="45" t="s">
        <v>115</v>
      </c>
      <c r="C161" s="35">
        <f t="shared" si="11"/>
        <v>42725</v>
      </c>
      <c r="D161" s="36">
        <f>J160</f>
        <v>2016</v>
      </c>
      <c r="E161" s="36">
        <f>K160</f>
        <v>356</v>
      </c>
      <c r="F161" s="37">
        <f>L160</f>
        <v>0.17430555555555599</v>
      </c>
      <c r="G161" s="38">
        <f>IF((L161-F161)&gt;0,K161-E161,IF((L161-F161)=0,0,K161-E161 -$F$401))</f>
        <v>0</v>
      </c>
      <c r="H161" s="37">
        <f>IF((L161-F161)&gt;0,L161-F161,IF((L161-F161)=0,0,$H$401+L161-F161))</f>
        <v>1.7361111111111022E-2</v>
      </c>
      <c r="I161" s="35">
        <f t="shared" si="12"/>
        <v>42725</v>
      </c>
      <c r="J161" s="36">
        <f>D162</f>
        <v>2016</v>
      </c>
      <c r="K161" s="36">
        <f>E162</f>
        <v>356</v>
      </c>
      <c r="L161" s="37">
        <f>F162</f>
        <v>0.19166666666666701</v>
      </c>
      <c r="M161" s="41"/>
      <c r="N161" s="42"/>
      <c r="O161" s="43">
        <f>IF(VALUE(LEFT($O162,3))&lt;192,50,IF(VALUE(LEFT($O162,3))&gt;597,50,VLOOKUP(VLOOKUP(VALUE(LEFT($O162,3)),'CIRS Table Info'!$B$6:$J$425,2,FALSE),'CIRS Table Info'!$B$428:$C$431,2,FALSE)))</f>
        <v>600</v>
      </c>
      <c r="P161" s="44">
        <f t="shared" si="14"/>
        <v>1</v>
      </c>
    </row>
    <row r="162" spans="1:16" x14ac:dyDescent="0.2">
      <c r="A162" s="21">
        <v>76</v>
      </c>
      <c r="B162" s="45" t="s">
        <v>483</v>
      </c>
      <c r="C162" s="35">
        <f t="shared" si="11"/>
        <v>42725</v>
      </c>
      <c r="D162" s="39">
        <v>2016</v>
      </c>
      <c r="E162" s="40">
        <v>356</v>
      </c>
      <c r="F162" s="37">
        <v>0.19166666666666701</v>
      </c>
      <c r="G162" s="38">
        <v>0</v>
      </c>
      <c r="H162" s="37">
        <v>0.55208333333333304</v>
      </c>
      <c r="I162" s="35">
        <f t="shared" si="12"/>
        <v>42725</v>
      </c>
      <c r="J162" s="47">
        <v>2016</v>
      </c>
      <c r="K162" s="36">
        <v>356</v>
      </c>
      <c r="L162" s="37">
        <v>0.74375000000000002</v>
      </c>
      <c r="M162" s="43">
        <v>400</v>
      </c>
      <c r="N162" s="43">
        <v>19.079999999999998</v>
      </c>
      <c r="O162" s="43">
        <v>192</v>
      </c>
      <c r="P162" s="44">
        <f t="shared" si="14"/>
        <v>1</v>
      </c>
    </row>
    <row r="163" spans="1:16" x14ac:dyDescent="0.2">
      <c r="A163" s="21"/>
      <c r="B163" s="45" t="s">
        <v>116</v>
      </c>
      <c r="C163" s="35">
        <f t="shared" si="11"/>
        <v>42725</v>
      </c>
      <c r="D163" s="36">
        <f>J162</f>
        <v>2016</v>
      </c>
      <c r="E163" s="36">
        <f>K162</f>
        <v>356</v>
      </c>
      <c r="F163" s="37">
        <f>L162</f>
        <v>0.74375000000000002</v>
      </c>
      <c r="G163" s="38">
        <f>IF((L163-F163)&gt;0,K163-E163,IF((L163-F163)=0,0,K163-E163 -$F$401))</f>
        <v>0</v>
      </c>
      <c r="H163" s="37">
        <f>IF((L163-F163)&gt;0,L163-F163,IF((L163-F163)=0,0,$H$401+L163-F163))</f>
        <v>0.10416666666666696</v>
      </c>
      <c r="I163" s="35">
        <f t="shared" si="12"/>
        <v>42725</v>
      </c>
      <c r="J163" s="36">
        <f>D164</f>
        <v>2016</v>
      </c>
      <c r="K163" s="36">
        <f>E164</f>
        <v>356</v>
      </c>
      <c r="L163" s="37">
        <f>F164</f>
        <v>0.84791666666666698</v>
      </c>
      <c r="M163" s="41"/>
      <c r="N163" s="42"/>
      <c r="O163" s="43">
        <f>IF(VALUE(LEFT($O164,3))&lt;192,50,IF(VALUE(LEFT($O164,3))&gt;597,50,VLOOKUP(VLOOKUP(VALUE(LEFT($O164,3)),'CIRS Table Info'!$B$6:$J$425,2,FALSE),'CIRS Table Info'!$B$428:$C$431,2,FALSE)))</f>
        <v>50</v>
      </c>
      <c r="P163" s="44">
        <f t="shared" si="14"/>
        <v>10</v>
      </c>
    </row>
    <row r="164" spans="1:16" x14ac:dyDescent="0.2">
      <c r="A164" s="21">
        <v>77</v>
      </c>
      <c r="B164" s="45" t="s">
        <v>484</v>
      </c>
      <c r="C164" s="35">
        <f t="shared" si="11"/>
        <v>42725</v>
      </c>
      <c r="D164" s="39">
        <v>2016</v>
      </c>
      <c r="E164" s="40">
        <v>356</v>
      </c>
      <c r="F164" s="37">
        <v>0.84791666666666698</v>
      </c>
      <c r="G164" s="38">
        <v>0</v>
      </c>
      <c r="H164" s="37">
        <v>0.33333333333333298</v>
      </c>
      <c r="I164" s="35">
        <f t="shared" si="12"/>
        <v>42726</v>
      </c>
      <c r="J164" s="47">
        <v>2016</v>
      </c>
      <c r="K164" s="36">
        <v>357</v>
      </c>
      <c r="L164" s="37">
        <v>0.18124999999999999</v>
      </c>
      <c r="M164" s="43">
        <v>1500</v>
      </c>
      <c r="N164" s="43">
        <v>43.2</v>
      </c>
      <c r="O164" s="43">
        <f>IF(MID(B164,6,7)="NO_DATA",50,IF(N164=0,50,IF(A164="", " ",826)))</f>
        <v>826</v>
      </c>
      <c r="P164" s="44">
        <f t="shared" si="14"/>
        <v>1</v>
      </c>
    </row>
    <row r="165" spans="1:16" x14ac:dyDescent="0.2">
      <c r="A165" s="21"/>
      <c r="B165" s="45" t="s">
        <v>117</v>
      </c>
      <c r="C165" s="35">
        <f t="shared" si="11"/>
        <v>42726</v>
      </c>
      <c r="D165" s="36">
        <f>J164</f>
        <v>2016</v>
      </c>
      <c r="E165" s="36">
        <f>K164</f>
        <v>357</v>
      </c>
      <c r="F165" s="37">
        <f>L164</f>
        <v>0.18124999999999999</v>
      </c>
      <c r="G165" s="38">
        <f>IF((L165-F165)&gt;0,K165-E165,IF((L165-F165)=0,0,K165-E165 -$F$401))</f>
        <v>0</v>
      </c>
      <c r="H165" s="37">
        <f>IF((L165-F165)&gt;0,L165-F165,IF((L165-F165)=0,0,$H$401+L165-F165))</f>
        <v>0.66111111111111098</v>
      </c>
      <c r="I165" s="35">
        <f t="shared" si="12"/>
        <v>42726</v>
      </c>
      <c r="J165" s="36">
        <f>D166</f>
        <v>2016</v>
      </c>
      <c r="K165" s="36">
        <f>E166</f>
        <v>357</v>
      </c>
      <c r="L165" s="37">
        <f>F166</f>
        <v>0.84236111111111101</v>
      </c>
      <c r="M165" s="41"/>
      <c r="N165" s="42"/>
      <c r="O165" s="43">
        <f>IF(VALUE(LEFT($O166,3))&lt;192,50,IF(VALUE(LEFT($O166,3))&gt;597,50,VLOOKUP(VLOOKUP(VALUE(LEFT($O166,3)),'CIRS Table Info'!$B$6:$J$425,2,FALSE),'CIRS Table Info'!$B$428:$C$431,2,FALSE)))</f>
        <v>50</v>
      </c>
      <c r="P165" s="44">
        <f t="shared" si="14"/>
        <v>10</v>
      </c>
    </row>
    <row r="166" spans="1:16" x14ac:dyDescent="0.2">
      <c r="A166" s="21">
        <v>78</v>
      </c>
      <c r="B166" s="45" t="s">
        <v>485</v>
      </c>
      <c r="C166" s="35">
        <f t="shared" si="11"/>
        <v>42726</v>
      </c>
      <c r="D166" s="39">
        <v>2016</v>
      </c>
      <c r="E166" s="40">
        <v>357</v>
      </c>
      <c r="F166" s="37">
        <v>0.84236111111111101</v>
      </c>
      <c r="G166" s="38">
        <v>0</v>
      </c>
      <c r="H166" s="37">
        <v>0.33333333333333298</v>
      </c>
      <c r="I166" s="35">
        <f t="shared" si="12"/>
        <v>42727</v>
      </c>
      <c r="J166" s="47">
        <v>2016</v>
      </c>
      <c r="K166" s="36">
        <v>358</v>
      </c>
      <c r="L166" s="37">
        <v>0.17569444444444399</v>
      </c>
      <c r="M166" s="43">
        <v>3000</v>
      </c>
      <c r="N166" s="43">
        <v>86.4</v>
      </c>
      <c r="O166" s="43">
        <f>IF(MID(B166,6,7)="NO_DATA",50,IF(N166=0,50,IF(A166="", " ",827)))</f>
        <v>827</v>
      </c>
      <c r="P166" s="44">
        <f t="shared" si="14"/>
        <v>1</v>
      </c>
    </row>
    <row r="167" spans="1:16" x14ac:dyDescent="0.2">
      <c r="A167" s="21"/>
      <c r="B167" s="45" t="s">
        <v>118</v>
      </c>
      <c r="C167" s="35">
        <f t="shared" si="11"/>
        <v>42727</v>
      </c>
      <c r="D167" s="36">
        <f>J166</f>
        <v>2016</v>
      </c>
      <c r="E167" s="36">
        <f>K166</f>
        <v>358</v>
      </c>
      <c r="F167" s="37">
        <f>L166</f>
        <v>0.17569444444444399</v>
      </c>
      <c r="G167" s="38">
        <f>IF((L167-F167)&gt;0,K167-E167,IF((L167-F167)=0,0,K167-E167 -$F$401))</f>
        <v>0</v>
      </c>
      <c r="H167" s="37">
        <f>IF((L167-F167)&gt;0,L167-F167,IF((L167-F167)=0,0,$H$401+L167-F167))</f>
        <v>0</v>
      </c>
      <c r="I167" s="35">
        <f t="shared" si="12"/>
        <v>42727</v>
      </c>
      <c r="J167" s="36">
        <f>D168</f>
        <v>2016</v>
      </c>
      <c r="K167" s="36">
        <f>E168</f>
        <v>358</v>
      </c>
      <c r="L167" s="37">
        <f>F168</f>
        <v>0.17569444444444399</v>
      </c>
      <c r="M167" s="41"/>
      <c r="N167" s="42"/>
      <c r="O167" s="43">
        <f>IF(VALUE(LEFT($O168,3))&lt;192,50,IF(VALUE(LEFT($O168,3))&gt;597,50,VLOOKUP(VLOOKUP(VALUE(LEFT($O168,3)),'CIRS Table Info'!$B$6:$J$425,2,FALSE),'CIRS Table Info'!$B$428:$C$431,2,FALSE)))</f>
        <v>602</v>
      </c>
      <c r="P167" s="44">
        <f t="shared" si="14"/>
        <v>1</v>
      </c>
    </row>
    <row r="168" spans="1:16" x14ac:dyDescent="0.2">
      <c r="A168" s="21">
        <v>79</v>
      </c>
      <c r="B168" s="45" t="s">
        <v>486</v>
      </c>
      <c r="C168" s="35">
        <f t="shared" si="11"/>
        <v>42727</v>
      </c>
      <c r="D168" s="39">
        <v>2016</v>
      </c>
      <c r="E168" s="40">
        <v>358</v>
      </c>
      <c r="F168" s="37">
        <v>0.17569444444444399</v>
      </c>
      <c r="G168" s="38">
        <v>0</v>
      </c>
      <c r="H168" s="37">
        <v>0.25</v>
      </c>
      <c r="I168" s="35">
        <f t="shared" si="12"/>
        <v>42727</v>
      </c>
      <c r="J168" s="47">
        <v>2016</v>
      </c>
      <c r="K168" s="36">
        <v>358</v>
      </c>
      <c r="L168" s="37">
        <v>0.42569444444444399</v>
      </c>
      <c r="M168" s="43">
        <v>4000</v>
      </c>
      <c r="N168" s="43">
        <v>86.4</v>
      </c>
      <c r="O168" s="471" t="s">
        <v>643</v>
      </c>
      <c r="P168" s="472" t="s">
        <v>644</v>
      </c>
    </row>
    <row r="169" spans="1:16" x14ac:dyDescent="0.2">
      <c r="A169" s="21"/>
      <c r="B169" s="45" t="s">
        <v>119</v>
      </c>
      <c r="C169" s="35">
        <f t="shared" si="11"/>
        <v>42727</v>
      </c>
      <c r="D169" s="36">
        <f>J168</f>
        <v>2016</v>
      </c>
      <c r="E169" s="36">
        <f>K168</f>
        <v>358</v>
      </c>
      <c r="F169" s="37">
        <f>L168</f>
        <v>0.42569444444444399</v>
      </c>
      <c r="G169" s="38">
        <f>IF((L169-F169)&gt;0,K169-E169,IF((L169-F169)=0,0,K169-E169 -$F$401))</f>
        <v>0</v>
      </c>
      <c r="H169" s="37">
        <f>IF((L169-F169)&gt;0,L169-F169,IF((L169-F169)=0,0,$H$401+L169-F169))</f>
        <v>0</v>
      </c>
      <c r="I169" s="35">
        <f t="shared" si="12"/>
        <v>42727</v>
      </c>
      <c r="J169" s="36">
        <f>D170</f>
        <v>2016</v>
      </c>
      <c r="K169" s="36">
        <f>E170</f>
        <v>358</v>
      </c>
      <c r="L169" s="37">
        <f>F170</f>
        <v>0.42569444444444399</v>
      </c>
      <c r="M169" s="41"/>
      <c r="N169" s="42"/>
      <c r="O169" s="43">
        <f>IF(VALUE(LEFT($O170,3))&lt;192,50,IF(VALUE(LEFT($O170,3))&gt;597,50,VLOOKUP(VLOOKUP(VALUE(LEFT($O170,3)),'CIRS Table Info'!$B$6:$J$425,2,FALSE),'CIRS Table Info'!$B$428:$C$431,2,FALSE)))</f>
        <v>600</v>
      </c>
      <c r="P169" s="44">
        <f>IF(O169=50,10,1)</f>
        <v>1</v>
      </c>
    </row>
    <row r="170" spans="1:16" x14ac:dyDescent="0.2">
      <c r="A170" s="21">
        <v>80</v>
      </c>
      <c r="B170" s="45" t="s">
        <v>490</v>
      </c>
      <c r="C170" s="35">
        <f t="shared" si="11"/>
        <v>42727</v>
      </c>
      <c r="D170" s="39">
        <v>2016</v>
      </c>
      <c r="E170" s="40">
        <v>358</v>
      </c>
      <c r="F170" s="37">
        <v>0.42569444444444399</v>
      </c>
      <c r="G170" s="38">
        <v>0</v>
      </c>
      <c r="H170" s="37">
        <v>0.33333333333333298</v>
      </c>
      <c r="I170" s="35">
        <f t="shared" si="12"/>
        <v>42727</v>
      </c>
      <c r="J170" s="47">
        <v>2016</v>
      </c>
      <c r="K170" s="36">
        <v>358</v>
      </c>
      <c r="L170" s="37">
        <v>0.75902777777777797</v>
      </c>
      <c r="M170" s="43">
        <v>4000</v>
      </c>
      <c r="N170" s="43">
        <v>115.2</v>
      </c>
      <c r="O170" s="512">
        <v>211208829</v>
      </c>
      <c r="P170" s="472">
        <v>1</v>
      </c>
    </row>
    <row r="171" spans="1:16" x14ac:dyDescent="0.2">
      <c r="A171" s="21"/>
      <c r="B171" s="45" t="s">
        <v>120</v>
      </c>
      <c r="C171" s="35">
        <f t="shared" si="11"/>
        <v>42727</v>
      </c>
      <c r="D171" s="36">
        <f>J170</f>
        <v>2016</v>
      </c>
      <c r="E171" s="36">
        <f>K170</f>
        <v>358</v>
      </c>
      <c r="F171" s="37">
        <f>L170</f>
        <v>0.75902777777777797</v>
      </c>
      <c r="G171" s="38">
        <f>IF((L171-F171)&gt;0,K171-E171,IF((L171-F171)=0,0,K171-E171 -$F$401))</f>
        <v>0</v>
      </c>
      <c r="H171" s="37">
        <f>IF((L171-F171)&gt;0,L171-F171,IF((L171-F171)=0,0,$H$401+L171-F171))</f>
        <v>7.2916666666666075E-2</v>
      </c>
      <c r="I171" s="35">
        <f t="shared" si="12"/>
        <v>42727</v>
      </c>
      <c r="J171" s="36">
        <f>D172</f>
        <v>2016</v>
      </c>
      <c r="K171" s="36">
        <f>E172</f>
        <v>358</v>
      </c>
      <c r="L171" s="37">
        <f>F172</f>
        <v>0.83194444444444404</v>
      </c>
      <c r="M171" s="41"/>
      <c r="N171" s="42"/>
      <c r="O171" s="43">
        <f>IF(VALUE(LEFT($O172,3))&lt;192,50,IF(VALUE(LEFT($O172,3))&gt;597,50,VLOOKUP(VLOOKUP(VALUE(LEFT($O172,3)),'CIRS Table Info'!$B$6:$J$425,2,FALSE),'CIRS Table Info'!$B$428:$C$431,2,FALSE)))</f>
        <v>50</v>
      </c>
      <c r="P171" s="44">
        <f t="shared" ref="P171:P181" si="15">IF(O171=50,10,1)</f>
        <v>10</v>
      </c>
    </row>
    <row r="172" spans="1:16" x14ac:dyDescent="0.2">
      <c r="A172" s="21">
        <v>81</v>
      </c>
      <c r="B172" s="45" t="s">
        <v>493</v>
      </c>
      <c r="C172" s="35">
        <f t="shared" si="11"/>
        <v>42727</v>
      </c>
      <c r="D172" s="39">
        <v>2016</v>
      </c>
      <c r="E172" s="40">
        <v>358</v>
      </c>
      <c r="F172" s="37">
        <v>0.83194444444444404</v>
      </c>
      <c r="G172" s="38">
        <v>0</v>
      </c>
      <c r="H172" s="37">
        <v>0.33333333333333298</v>
      </c>
      <c r="I172" s="35">
        <f t="shared" si="12"/>
        <v>42728</v>
      </c>
      <c r="J172" s="47">
        <v>2016</v>
      </c>
      <c r="K172" s="36">
        <v>359</v>
      </c>
      <c r="L172" s="37">
        <v>0.165277777777778</v>
      </c>
      <c r="M172" s="43">
        <v>3000</v>
      </c>
      <c r="N172" s="43">
        <v>86.4</v>
      </c>
      <c r="O172" s="43">
        <f>IF(MID(B172,6,7)="NO_DATA",50,IF(N172=0,50,IF(A172="", " ",830)))</f>
        <v>830</v>
      </c>
      <c r="P172" s="44">
        <f t="shared" si="15"/>
        <v>1</v>
      </c>
    </row>
    <row r="173" spans="1:16" x14ac:dyDescent="0.2">
      <c r="A173" s="21"/>
      <c r="B173" s="45" t="s">
        <v>121</v>
      </c>
      <c r="C173" s="35">
        <f t="shared" si="11"/>
        <v>42728</v>
      </c>
      <c r="D173" s="36">
        <f>J172</f>
        <v>2016</v>
      </c>
      <c r="E173" s="36">
        <f>K172</f>
        <v>359</v>
      </c>
      <c r="F173" s="37">
        <f>L172</f>
        <v>0.165277777777778</v>
      </c>
      <c r="G173" s="38">
        <f>IF((L173-F173)&gt;0,K173-E173,IF((L173-F173)=0,0,K173-E173 -$F$401))</f>
        <v>0</v>
      </c>
      <c r="H173" s="37">
        <f>IF((L173-F173)&gt;0,L173-F173,IF((L173-F173)=0,0,$H$401+L173-F173))</f>
        <v>0.66666666666666607</v>
      </c>
      <c r="I173" s="35">
        <f t="shared" si="12"/>
        <v>42728</v>
      </c>
      <c r="J173" s="36">
        <f>D174</f>
        <v>2016</v>
      </c>
      <c r="K173" s="36">
        <f>E174</f>
        <v>359</v>
      </c>
      <c r="L173" s="37">
        <f>F174</f>
        <v>0.83194444444444404</v>
      </c>
      <c r="M173" s="41"/>
      <c r="N173" s="42"/>
      <c r="O173" s="43">
        <f>IF(VALUE(LEFT($O174,3))&lt;192,50,IF(VALUE(LEFT($O174,3))&gt;597,50,VLOOKUP(VLOOKUP(VALUE(LEFT($O174,3)),'CIRS Table Info'!$B$6:$J$425,2,FALSE),'CIRS Table Info'!$B$428:$C$431,2,FALSE)))</f>
        <v>50</v>
      </c>
      <c r="P173" s="44">
        <f t="shared" si="15"/>
        <v>10</v>
      </c>
    </row>
    <row r="174" spans="1:16" x14ac:dyDescent="0.2">
      <c r="A174" s="21">
        <v>82</v>
      </c>
      <c r="B174" s="45" t="s">
        <v>494</v>
      </c>
      <c r="C174" s="35">
        <f t="shared" si="11"/>
        <v>42728</v>
      </c>
      <c r="D174" s="39">
        <v>2016</v>
      </c>
      <c r="E174" s="40">
        <v>359</v>
      </c>
      <c r="F174" s="37">
        <v>0.83194444444444404</v>
      </c>
      <c r="G174" s="38">
        <v>0</v>
      </c>
      <c r="H174" s="37">
        <v>0.33333333333333298</v>
      </c>
      <c r="I174" s="35">
        <f t="shared" si="12"/>
        <v>42729</v>
      </c>
      <c r="J174" s="47">
        <v>2016</v>
      </c>
      <c r="K174" s="36">
        <v>360</v>
      </c>
      <c r="L174" s="37">
        <v>0.165277777777778</v>
      </c>
      <c r="M174" s="43">
        <v>1500</v>
      </c>
      <c r="N174" s="43">
        <v>43.2</v>
      </c>
      <c r="O174" s="43">
        <f>IF(MID(B174,6,7)="NO_DATA",50,IF(N174=0,50,IF(A174="", " ",831)))</f>
        <v>831</v>
      </c>
      <c r="P174" s="44">
        <f t="shared" si="15"/>
        <v>1</v>
      </c>
    </row>
    <row r="175" spans="1:16" x14ac:dyDescent="0.2">
      <c r="A175" s="21"/>
      <c r="B175" s="45" t="s">
        <v>122</v>
      </c>
      <c r="C175" s="35">
        <f t="shared" si="11"/>
        <v>42729</v>
      </c>
      <c r="D175" s="36">
        <f>J174</f>
        <v>2016</v>
      </c>
      <c r="E175" s="36">
        <f>K174</f>
        <v>360</v>
      </c>
      <c r="F175" s="37">
        <f>L174</f>
        <v>0.165277777777778</v>
      </c>
      <c r="G175" s="38">
        <f>IF((L175-F175)&gt;0,K175-E175,IF((L175-F175)=0,0,K175-E175 -$F$401))</f>
        <v>0</v>
      </c>
      <c r="H175" s="37">
        <f>IF((L175-F175)&gt;0,L175-F175,IF((L175-F175)=0,0,$H$401+L175-F175))</f>
        <v>0.22013888888888902</v>
      </c>
      <c r="I175" s="35">
        <f t="shared" si="12"/>
        <v>42729</v>
      </c>
      <c r="J175" s="36">
        <f>D176</f>
        <v>2016</v>
      </c>
      <c r="K175" s="36">
        <f>E176</f>
        <v>360</v>
      </c>
      <c r="L175" s="37">
        <f>F176</f>
        <v>0.38541666666666702</v>
      </c>
      <c r="M175" s="41"/>
      <c r="N175" s="42"/>
      <c r="O175" s="43">
        <f>IF(VALUE(LEFT($O176,3))&lt;192,50,IF(VALUE(LEFT($O176,3))&gt;597,50,VLOOKUP(VLOOKUP(VALUE(LEFT($O176,3)),'CIRS Table Info'!$B$6:$J$425,2,FALSE),'CIRS Table Info'!$B$428:$C$431,2,FALSE)))</f>
        <v>50</v>
      </c>
      <c r="P175" s="44">
        <f t="shared" si="15"/>
        <v>10</v>
      </c>
    </row>
    <row r="176" spans="1:16" x14ac:dyDescent="0.2">
      <c r="A176" s="21">
        <v>83</v>
      </c>
      <c r="B176" s="45" t="s">
        <v>495</v>
      </c>
      <c r="C176" s="35">
        <f t="shared" si="11"/>
        <v>42729</v>
      </c>
      <c r="D176" s="39">
        <v>2016</v>
      </c>
      <c r="E176" s="40">
        <v>360</v>
      </c>
      <c r="F176" s="37">
        <v>0.38541666666666702</v>
      </c>
      <c r="G176" s="38">
        <v>0</v>
      </c>
      <c r="H176" s="37">
        <v>4.1666666666666699E-2</v>
      </c>
      <c r="I176" s="35">
        <f t="shared" si="12"/>
        <v>42729</v>
      </c>
      <c r="J176" s="47">
        <v>2016</v>
      </c>
      <c r="K176" s="36">
        <v>360</v>
      </c>
      <c r="L176" s="37">
        <v>0.42708333333333298</v>
      </c>
      <c r="M176" s="43">
        <v>3000</v>
      </c>
      <c r="N176" s="43">
        <v>10.8</v>
      </c>
      <c r="O176" s="43">
        <f>IF(MID(B176,6,7)="NO_DATA",50,IF(N176=0,50,IF(A176="", " ",832)))</f>
        <v>832</v>
      </c>
      <c r="P176" s="44">
        <f t="shared" si="15"/>
        <v>1</v>
      </c>
    </row>
    <row r="177" spans="1:16" x14ac:dyDescent="0.2">
      <c r="A177" s="21"/>
      <c r="B177" s="45" t="s">
        <v>123</v>
      </c>
      <c r="C177" s="35">
        <f t="shared" si="11"/>
        <v>42729</v>
      </c>
      <c r="D177" s="36">
        <f>J176</f>
        <v>2016</v>
      </c>
      <c r="E177" s="36">
        <f>K176</f>
        <v>360</v>
      </c>
      <c r="F177" s="37">
        <f>L176</f>
        <v>0.42708333333333298</v>
      </c>
      <c r="G177" s="38">
        <f>IF((L177-F177)&gt;0,K177-E177,IF((L177-F177)=0,0,K177-E177 -$F$401))</f>
        <v>0</v>
      </c>
      <c r="H177" s="37">
        <f>IF((L177-F177)&gt;0,L177-F177,IF((L177-F177)=0,0,$H$401+L177-F177))</f>
        <v>2.7777777777778012E-2</v>
      </c>
      <c r="I177" s="35">
        <f t="shared" si="12"/>
        <v>42729</v>
      </c>
      <c r="J177" s="36">
        <f>D178</f>
        <v>2016</v>
      </c>
      <c r="K177" s="36">
        <f>E178</f>
        <v>360</v>
      </c>
      <c r="L177" s="37">
        <f>F178</f>
        <v>0.45486111111111099</v>
      </c>
      <c r="M177" s="41"/>
      <c r="N177" s="42"/>
      <c r="O177" s="43">
        <f>IF(VALUE(LEFT($O178,3))&lt;192,50,IF(VALUE(LEFT($O178,3))&gt;597,50,VLOOKUP(VLOOKUP(VALUE(LEFT($O178,3)),'CIRS Table Info'!$B$6:$J$425,2,FALSE),'CIRS Table Info'!$B$428:$C$431,2,FALSE)))</f>
        <v>606</v>
      </c>
      <c r="P177" s="44">
        <f t="shared" si="15"/>
        <v>1</v>
      </c>
    </row>
    <row r="178" spans="1:16" x14ac:dyDescent="0.2">
      <c r="A178" s="21">
        <v>84</v>
      </c>
      <c r="B178" s="45" t="s">
        <v>496</v>
      </c>
      <c r="C178" s="35">
        <f t="shared" si="11"/>
        <v>42729</v>
      </c>
      <c r="D178" s="39">
        <v>2016</v>
      </c>
      <c r="E178" s="40">
        <v>360</v>
      </c>
      <c r="F178" s="37">
        <v>0.45486111111111099</v>
      </c>
      <c r="G178" s="38">
        <v>0</v>
      </c>
      <c r="H178" s="37">
        <v>6.25E-2</v>
      </c>
      <c r="I178" s="35">
        <f t="shared" si="12"/>
        <v>42729</v>
      </c>
      <c r="J178" s="47">
        <v>2016</v>
      </c>
      <c r="K178" s="36">
        <v>360</v>
      </c>
      <c r="L178" s="37">
        <v>0.51736111111111105</v>
      </c>
      <c r="M178" s="43">
        <v>4000</v>
      </c>
      <c r="N178" s="43">
        <v>21.6</v>
      </c>
      <c r="O178" s="43">
        <v>341</v>
      </c>
      <c r="P178" s="44">
        <f t="shared" si="15"/>
        <v>1</v>
      </c>
    </row>
    <row r="179" spans="1:16" x14ac:dyDescent="0.2">
      <c r="A179" s="21"/>
      <c r="B179" s="45" t="s">
        <v>124</v>
      </c>
      <c r="C179" s="35">
        <f t="shared" si="11"/>
        <v>42729</v>
      </c>
      <c r="D179" s="36">
        <f>J178</f>
        <v>2016</v>
      </c>
      <c r="E179" s="36">
        <f>K178</f>
        <v>360</v>
      </c>
      <c r="F179" s="37">
        <f>L178</f>
        <v>0.51736111111111105</v>
      </c>
      <c r="G179" s="38">
        <f>IF((L179-F179)&gt;0,K179-E179,IF((L179-F179)=0,0,K179-E179 -$F$401))</f>
        <v>0</v>
      </c>
      <c r="H179" s="37">
        <f>IF((L179-F179)&gt;0,L179-F179,IF((L179-F179)=0,0,$H$401+L179-F179))</f>
        <v>0.60763888888888895</v>
      </c>
      <c r="I179" s="35">
        <f t="shared" si="12"/>
        <v>42730</v>
      </c>
      <c r="J179" s="36">
        <f>D180</f>
        <v>2016</v>
      </c>
      <c r="K179" s="36">
        <f>E180</f>
        <v>361</v>
      </c>
      <c r="L179" s="37">
        <f>F180</f>
        <v>0.125</v>
      </c>
      <c r="M179" s="41"/>
      <c r="N179" s="42"/>
      <c r="O179" s="43">
        <f>IF(VALUE(LEFT($O180,3))&lt;192,50,IF(VALUE(LEFT($O180,3))&gt;597,50,VLOOKUP(VLOOKUP(VALUE(LEFT($O180,3)),'CIRS Table Info'!$B$6:$J$425,2,FALSE),'CIRS Table Info'!$B$428:$C$431,2,FALSE)))</f>
        <v>50</v>
      </c>
      <c r="P179" s="44">
        <f t="shared" si="15"/>
        <v>10</v>
      </c>
    </row>
    <row r="180" spans="1:16" x14ac:dyDescent="0.2">
      <c r="A180" s="21">
        <v>85</v>
      </c>
      <c r="B180" s="45" t="s">
        <v>497</v>
      </c>
      <c r="C180" s="35">
        <f t="shared" si="11"/>
        <v>42730</v>
      </c>
      <c r="D180" s="39">
        <v>2016</v>
      </c>
      <c r="E180" s="40">
        <v>361</v>
      </c>
      <c r="F180" s="37">
        <v>0.125</v>
      </c>
      <c r="G180" s="38">
        <v>0</v>
      </c>
      <c r="H180" s="37">
        <v>0.22916666666666699</v>
      </c>
      <c r="I180" s="35">
        <f t="shared" si="12"/>
        <v>42730</v>
      </c>
      <c r="J180" s="47">
        <v>2016</v>
      </c>
      <c r="K180" s="36">
        <v>361</v>
      </c>
      <c r="L180" s="37">
        <v>0.35416666666666702</v>
      </c>
      <c r="M180" s="43">
        <v>4000</v>
      </c>
      <c r="N180" s="43">
        <v>79.2</v>
      </c>
      <c r="O180" s="43">
        <f>IF(MID(B180,6,7)="NO_DATA",50,IF(N180=0,50,IF(A180="", " ",834)))</f>
        <v>834</v>
      </c>
      <c r="P180" s="44">
        <f t="shared" si="15"/>
        <v>1</v>
      </c>
    </row>
    <row r="181" spans="1:16" x14ac:dyDescent="0.2">
      <c r="A181" s="21"/>
      <c r="B181" s="45" t="s">
        <v>125</v>
      </c>
      <c r="C181" s="35">
        <f t="shared" si="11"/>
        <v>42730</v>
      </c>
      <c r="D181" s="36">
        <f>J180</f>
        <v>2016</v>
      </c>
      <c r="E181" s="36">
        <f>K180</f>
        <v>361</v>
      </c>
      <c r="F181" s="37">
        <f>L180</f>
        <v>0.35416666666666702</v>
      </c>
      <c r="G181" s="38">
        <f>IF((L181-F181)&gt;0,K181-E181,IF((L181-F181)=0,0,K181-E181 -$F$401))</f>
        <v>0</v>
      </c>
      <c r="H181" s="37">
        <f>IF((L181-F181)&gt;0,L181-F181,IF((L181-F181)=0,0,$H$401+L181-F181))</f>
        <v>0</v>
      </c>
      <c r="I181" s="35">
        <f t="shared" si="12"/>
        <v>42730</v>
      </c>
      <c r="J181" s="36">
        <f>D182</f>
        <v>2016</v>
      </c>
      <c r="K181" s="36">
        <f>E182</f>
        <v>361</v>
      </c>
      <c r="L181" s="37">
        <f>F182</f>
        <v>0.35416666666666702</v>
      </c>
      <c r="M181" s="41"/>
      <c r="N181" s="42"/>
      <c r="O181" s="43">
        <f>IF(VALUE(LEFT($O182,3))&lt;192,50,IF(VALUE(LEFT($O182,3))&gt;597,50,VLOOKUP(VLOOKUP(VALUE(LEFT($O182,3)),'CIRS Table Info'!$B$6:$J$425,2,FALSE),'CIRS Table Info'!$B$428:$C$431,2,FALSE)))</f>
        <v>600</v>
      </c>
      <c r="P181" s="44">
        <f t="shared" si="15"/>
        <v>1</v>
      </c>
    </row>
    <row r="182" spans="1:16" x14ac:dyDescent="0.2">
      <c r="A182" s="21">
        <v>86</v>
      </c>
      <c r="B182" s="45" t="s">
        <v>499</v>
      </c>
      <c r="C182" s="35">
        <f t="shared" si="11"/>
        <v>42730</v>
      </c>
      <c r="D182" s="39">
        <v>2016</v>
      </c>
      <c r="E182" s="40">
        <v>361</v>
      </c>
      <c r="F182" s="37">
        <v>0.35416666666666702</v>
      </c>
      <c r="G182" s="38">
        <v>0</v>
      </c>
      <c r="H182" s="37">
        <v>0.16180555555555601</v>
      </c>
      <c r="I182" s="35">
        <f t="shared" si="12"/>
        <v>42730</v>
      </c>
      <c r="J182" s="47">
        <v>2016</v>
      </c>
      <c r="K182" s="36">
        <v>361</v>
      </c>
      <c r="L182" s="37">
        <v>0.51597222222222205</v>
      </c>
      <c r="M182" s="43">
        <v>4000</v>
      </c>
      <c r="N182" s="43">
        <v>55.92</v>
      </c>
      <c r="O182" s="471" t="s">
        <v>645</v>
      </c>
      <c r="P182" s="472" t="s">
        <v>639</v>
      </c>
    </row>
    <row r="183" spans="1:16" x14ac:dyDescent="0.2">
      <c r="A183" s="21"/>
      <c r="B183" s="45" t="s">
        <v>126</v>
      </c>
      <c r="C183" s="35">
        <f t="shared" si="11"/>
        <v>42730</v>
      </c>
      <c r="D183" s="36">
        <f>J182</f>
        <v>2016</v>
      </c>
      <c r="E183" s="36">
        <f>K182</f>
        <v>361</v>
      </c>
      <c r="F183" s="37">
        <f>L182</f>
        <v>0.51597222222222205</v>
      </c>
      <c r="G183" s="38">
        <f>IF((L183-F183)&gt;0,K183-E183,IF((L183-F183)=0,0,K183-E183 -$F$401))</f>
        <v>0</v>
      </c>
      <c r="H183" s="37">
        <f>IF((L183-F183)&gt;0,L183-F183,IF((L183-F183)=0,0,$H$401+L183-F183))</f>
        <v>0</v>
      </c>
      <c r="I183" s="35">
        <f t="shared" si="12"/>
        <v>42730</v>
      </c>
      <c r="J183" s="36">
        <f>D184</f>
        <v>2016</v>
      </c>
      <c r="K183" s="36">
        <f>E184</f>
        <v>361</v>
      </c>
      <c r="L183" s="37">
        <f>F184</f>
        <v>0.51597222222222205</v>
      </c>
      <c r="M183" s="41"/>
      <c r="N183" s="42"/>
      <c r="O183" s="43">
        <f>IF(VALUE(LEFT($O184,3))&lt;192,50,IF(VALUE(LEFT($O184,3))&gt;597,50,VLOOKUP(VLOOKUP(VALUE(LEFT($O184,3)),'CIRS Table Info'!$B$6:$J$425,2,FALSE),'CIRS Table Info'!$B$428:$C$431,2,FALSE)))</f>
        <v>602</v>
      </c>
      <c r="P183" s="44">
        <f>IF(O183=50,10,1)</f>
        <v>1</v>
      </c>
    </row>
    <row r="184" spans="1:16" x14ac:dyDescent="0.2">
      <c r="A184" s="21">
        <v>87</v>
      </c>
      <c r="B184" s="45" t="s">
        <v>502</v>
      </c>
      <c r="C184" s="35">
        <f t="shared" si="11"/>
        <v>42730</v>
      </c>
      <c r="D184" s="39">
        <v>2016</v>
      </c>
      <c r="E184" s="40">
        <v>361</v>
      </c>
      <c r="F184" s="37">
        <v>0.51597222222222205</v>
      </c>
      <c r="G184" s="38">
        <v>0</v>
      </c>
      <c r="H184" s="37">
        <v>0.16666666666666699</v>
      </c>
      <c r="I184" s="35">
        <f t="shared" si="12"/>
        <v>42730</v>
      </c>
      <c r="J184" s="47">
        <v>2016</v>
      </c>
      <c r="K184" s="36">
        <v>361</v>
      </c>
      <c r="L184" s="37">
        <v>0.68263888888888902</v>
      </c>
      <c r="M184" s="43">
        <v>4000</v>
      </c>
      <c r="N184" s="43">
        <v>57.6</v>
      </c>
      <c r="O184" s="471" t="s">
        <v>641</v>
      </c>
      <c r="P184" s="472" t="s">
        <v>639</v>
      </c>
    </row>
    <row r="185" spans="1:16" x14ac:dyDescent="0.2">
      <c r="A185" s="21"/>
      <c r="B185" s="45" t="s">
        <v>127</v>
      </c>
      <c r="C185" s="35">
        <f t="shared" si="11"/>
        <v>42730</v>
      </c>
      <c r="D185" s="36">
        <f>J184</f>
        <v>2016</v>
      </c>
      <c r="E185" s="36">
        <f>K184</f>
        <v>361</v>
      </c>
      <c r="F185" s="37">
        <f>L184</f>
        <v>0.68263888888888902</v>
      </c>
      <c r="G185" s="38">
        <f>IF((L185-F185)&gt;0,K185-E185,IF((L185-F185)=0,0,K185-E185 -$F$401))</f>
        <v>0</v>
      </c>
      <c r="H185" s="37">
        <f>IF((L185-F185)&gt;0,L185-F185,IF((L185-F185)=0,0,$H$401+L185-F185))</f>
        <v>0.61874999999999991</v>
      </c>
      <c r="I185" s="35">
        <f t="shared" si="12"/>
        <v>42731</v>
      </c>
      <c r="J185" s="36">
        <f>D186</f>
        <v>2016</v>
      </c>
      <c r="K185" s="36">
        <f>E186</f>
        <v>362</v>
      </c>
      <c r="L185" s="37">
        <f>F186</f>
        <v>0.30138888888888898</v>
      </c>
      <c r="M185" s="41"/>
      <c r="N185" s="42"/>
      <c r="O185" s="43">
        <f>IF(VALUE(LEFT($O186,3))&lt;192,50,IF(VALUE(LEFT($O186,3))&gt;597,50,VLOOKUP(VLOOKUP(VALUE(LEFT($O186,3)),'CIRS Table Info'!$B$6:$J$425,2,FALSE),'CIRS Table Info'!$B$428:$C$431,2,FALSE)))</f>
        <v>50</v>
      </c>
      <c r="P185" s="44">
        <f t="shared" ref="P185:P209" si="16">IF(O185=50,10,1)</f>
        <v>10</v>
      </c>
    </row>
    <row r="186" spans="1:16" x14ac:dyDescent="0.2">
      <c r="A186" s="21">
        <v>88</v>
      </c>
      <c r="B186" s="45" t="s">
        <v>504</v>
      </c>
      <c r="C186" s="35">
        <f t="shared" si="11"/>
        <v>42731</v>
      </c>
      <c r="D186" s="39">
        <v>2016</v>
      </c>
      <c r="E186" s="40">
        <v>362</v>
      </c>
      <c r="F186" s="37">
        <v>0.30138888888888898</v>
      </c>
      <c r="G186" s="38">
        <v>0</v>
      </c>
      <c r="H186" s="37">
        <v>0.23958333333333301</v>
      </c>
      <c r="I186" s="35">
        <f t="shared" si="12"/>
        <v>42731</v>
      </c>
      <c r="J186" s="47">
        <v>2016</v>
      </c>
      <c r="K186" s="36">
        <v>362</v>
      </c>
      <c r="L186" s="37">
        <v>0.54097222222222197</v>
      </c>
      <c r="M186" s="43">
        <v>3000</v>
      </c>
      <c r="N186" s="43">
        <v>62.1</v>
      </c>
      <c r="O186" s="43">
        <f>IF(MID(B186,6,7)="NO_DATA",50,IF(N186=0,50,IF(A186="", " ",837)))</f>
        <v>837</v>
      </c>
      <c r="P186" s="44">
        <f t="shared" si="16"/>
        <v>1</v>
      </c>
    </row>
    <row r="187" spans="1:16" x14ac:dyDescent="0.2">
      <c r="A187" s="21"/>
      <c r="B187" s="45" t="s">
        <v>128</v>
      </c>
      <c r="C187" s="35">
        <f t="shared" si="11"/>
        <v>42731</v>
      </c>
      <c r="D187" s="36">
        <f>J186</f>
        <v>2016</v>
      </c>
      <c r="E187" s="36">
        <f>K186</f>
        <v>362</v>
      </c>
      <c r="F187" s="37">
        <f>L186</f>
        <v>0.54097222222222197</v>
      </c>
      <c r="G187" s="38">
        <f>IF((L187-F187)&gt;0,K187-E187,IF((L187-F187)=0,0,K187-E187 -$F$401))</f>
        <v>1</v>
      </c>
      <c r="H187" s="37">
        <f>IF((L187-F187)&gt;0,L187-F187,IF((L187-F187)=0,0,$H$401+L187-F187))</f>
        <v>0.28611111111111098</v>
      </c>
      <c r="I187" s="35">
        <f t="shared" si="12"/>
        <v>42732</v>
      </c>
      <c r="J187" s="36">
        <f>D188</f>
        <v>2016</v>
      </c>
      <c r="K187" s="36">
        <f>E188</f>
        <v>363</v>
      </c>
      <c r="L187" s="37">
        <f>F188</f>
        <v>0.82708333333333295</v>
      </c>
      <c r="M187" s="41"/>
      <c r="N187" s="42"/>
      <c r="O187" s="43">
        <f>IF(VALUE(LEFT($O188,3))&lt;192,50,IF(VALUE(LEFT($O188,3))&gt;597,50,VLOOKUP(VLOOKUP(VALUE(LEFT($O188,3)),'CIRS Table Info'!$B$6:$J$425,2,FALSE),'CIRS Table Info'!$B$428:$C$431,2,FALSE)))</f>
        <v>50</v>
      </c>
      <c r="P187" s="44">
        <f t="shared" si="16"/>
        <v>10</v>
      </c>
    </row>
    <row r="188" spans="1:16" x14ac:dyDescent="0.2">
      <c r="A188" s="21">
        <v>89</v>
      </c>
      <c r="B188" s="45" t="s">
        <v>505</v>
      </c>
      <c r="C188" s="35">
        <f t="shared" si="11"/>
        <v>42732</v>
      </c>
      <c r="D188" s="39">
        <v>2016</v>
      </c>
      <c r="E188" s="40">
        <v>363</v>
      </c>
      <c r="F188" s="37">
        <v>0.82708333333333295</v>
      </c>
      <c r="G188" s="38">
        <v>0</v>
      </c>
      <c r="H188" s="37">
        <v>0.33333333333333298</v>
      </c>
      <c r="I188" s="35">
        <f t="shared" si="12"/>
        <v>42733</v>
      </c>
      <c r="J188" s="47">
        <v>2016</v>
      </c>
      <c r="K188" s="36">
        <v>364</v>
      </c>
      <c r="L188" s="37">
        <v>0.16041666666666701</v>
      </c>
      <c r="M188" s="43">
        <v>3000</v>
      </c>
      <c r="N188" s="43">
        <v>86.4</v>
      </c>
      <c r="O188" s="43">
        <f>IF(MID(B188,6,7)="NO_DATA",50,IF(N188=0,50,IF(A188="", " ",838)))</f>
        <v>838</v>
      </c>
      <c r="P188" s="44">
        <f t="shared" si="16"/>
        <v>1</v>
      </c>
    </row>
    <row r="189" spans="1:16" x14ac:dyDescent="0.2">
      <c r="A189" s="21"/>
      <c r="B189" s="45" t="s">
        <v>129</v>
      </c>
      <c r="C189" s="35">
        <f t="shared" si="11"/>
        <v>42733</v>
      </c>
      <c r="D189" s="36">
        <f>J188</f>
        <v>2016</v>
      </c>
      <c r="E189" s="36">
        <f>K188</f>
        <v>364</v>
      </c>
      <c r="F189" s="37">
        <f>L188</f>
        <v>0.16041666666666701</v>
      </c>
      <c r="G189" s="38">
        <f>IF((L189-F189)&gt;0,K189-E189,IF((L189-F189)=0,0,K189-E189 -$F$401))</f>
        <v>1</v>
      </c>
      <c r="H189" s="37">
        <f>IF((L189-F189)&gt;0,L189-F189,IF((L189-F189)=0,0,$H$401+L189-F189))</f>
        <v>0.12013888888888899</v>
      </c>
      <c r="I189" s="35">
        <f t="shared" si="12"/>
        <v>42734</v>
      </c>
      <c r="J189" s="36">
        <f>D190</f>
        <v>2016</v>
      </c>
      <c r="K189" s="36">
        <f>E190</f>
        <v>365</v>
      </c>
      <c r="L189" s="37">
        <f>F190</f>
        <v>0.280555555555556</v>
      </c>
      <c r="M189" s="41"/>
      <c r="N189" s="42"/>
      <c r="O189" s="43">
        <f>IF(VALUE(LEFT($O190,3))&lt;192,50,IF(VALUE(LEFT($O190,3))&gt;597,50,VLOOKUP(VLOOKUP(VALUE(LEFT($O190,3)),'CIRS Table Info'!$B$6:$J$425,2,FALSE),'CIRS Table Info'!$B$428:$C$431,2,FALSE)))</f>
        <v>50</v>
      </c>
      <c r="P189" s="44">
        <f t="shared" si="16"/>
        <v>10</v>
      </c>
    </row>
    <row r="190" spans="1:16" x14ac:dyDescent="0.2">
      <c r="A190" s="21">
        <v>90</v>
      </c>
      <c r="B190" s="45" t="s">
        <v>506</v>
      </c>
      <c r="C190" s="35">
        <f t="shared" si="11"/>
        <v>42734</v>
      </c>
      <c r="D190" s="39">
        <v>2016</v>
      </c>
      <c r="E190" s="40">
        <v>365</v>
      </c>
      <c r="F190" s="37">
        <v>0.280555555555556</v>
      </c>
      <c r="G190" s="38">
        <v>0</v>
      </c>
      <c r="H190" s="37">
        <v>0.27083333333333298</v>
      </c>
      <c r="I190" s="35">
        <f t="shared" si="12"/>
        <v>42734</v>
      </c>
      <c r="J190" s="47">
        <v>2016</v>
      </c>
      <c r="K190" s="36">
        <v>365</v>
      </c>
      <c r="L190" s="37">
        <v>0.55138888888888904</v>
      </c>
      <c r="M190" s="43">
        <v>3000</v>
      </c>
      <c r="N190" s="43">
        <v>70.2</v>
      </c>
      <c r="O190" s="43">
        <f>IF(MID(B190,6,7)="NO_DATA",50,IF(N190=0,50,IF(A190="", " ",839)))</f>
        <v>839</v>
      </c>
      <c r="P190" s="44">
        <f t="shared" si="16"/>
        <v>1</v>
      </c>
    </row>
    <row r="191" spans="1:16" x14ac:dyDescent="0.2">
      <c r="A191" s="21"/>
      <c r="B191" s="45" t="s">
        <v>130</v>
      </c>
      <c r="C191" s="35">
        <f t="shared" si="11"/>
        <v>42734</v>
      </c>
      <c r="D191" s="36">
        <f>J190</f>
        <v>2016</v>
      </c>
      <c r="E191" s="36">
        <f>K190</f>
        <v>365</v>
      </c>
      <c r="F191" s="37">
        <f>L190</f>
        <v>0.55138888888888904</v>
      </c>
      <c r="G191" s="38">
        <f>IF((L191-F191)&gt;0,K191-E191,IF((L191-F191)=0,0,K191-E191 -$F$401))</f>
        <v>0</v>
      </c>
      <c r="H191" s="37">
        <f>IF((L191-F191)&gt;0,L191-F191,IF((L191-F191)=0,0,$H$401+L191-F191))</f>
        <v>0.34513888888888899</v>
      </c>
      <c r="I191" s="35">
        <f t="shared" si="12"/>
        <v>42734</v>
      </c>
      <c r="J191" s="36">
        <f>D192</f>
        <v>2016</v>
      </c>
      <c r="K191" s="36">
        <f>E192</f>
        <v>365</v>
      </c>
      <c r="L191" s="37">
        <f>F192</f>
        <v>0.89652777777777803</v>
      </c>
      <c r="M191" s="41"/>
      <c r="N191" s="42"/>
      <c r="O191" s="43">
        <f>IF(VALUE(LEFT($O192,3))&lt;192,50,IF(VALUE(LEFT($O192,3))&gt;597,50,VLOOKUP(VLOOKUP(VALUE(LEFT($O192,3)),'CIRS Table Info'!$B$6:$J$425,2,FALSE),'CIRS Table Info'!$B$428:$C$431,2,FALSE)))</f>
        <v>606</v>
      </c>
      <c r="P191" s="44">
        <f t="shared" si="16"/>
        <v>1</v>
      </c>
    </row>
    <row r="192" spans="1:16" x14ac:dyDescent="0.2">
      <c r="A192" s="21">
        <v>91</v>
      </c>
      <c r="B192" s="45" t="s">
        <v>507</v>
      </c>
      <c r="C192" s="35">
        <f t="shared" si="11"/>
        <v>42734</v>
      </c>
      <c r="D192" s="39">
        <v>2016</v>
      </c>
      <c r="E192" s="40">
        <v>365</v>
      </c>
      <c r="F192" s="37">
        <v>0.89652777777777803</v>
      </c>
      <c r="G192" s="38">
        <v>0</v>
      </c>
      <c r="H192" s="37">
        <v>0.20833333333333301</v>
      </c>
      <c r="I192" s="35">
        <f t="shared" si="12"/>
        <v>42735</v>
      </c>
      <c r="J192" s="47">
        <v>2016</v>
      </c>
      <c r="K192" s="36">
        <v>366</v>
      </c>
      <c r="L192" s="37">
        <v>0.104861111111111</v>
      </c>
      <c r="M192" s="43">
        <v>3600</v>
      </c>
      <c r="N192" s="43">
        <v>64.8</v>
      </c>
      <c r="O192" s="43">
        <v>541</v>
      </c>
      <c r="P192" s="44">
        <f t="shared" si="16"/>
        <v>1</v>
      </c>
    </row>
    <row r="193" spans="1:16" x14ac:dyDescent="0.2">
      <c r="A193" s="21"/>
      <c r="B193" s="45" t="s">
        <v>131</v>
      </c>
      <c r="C193" s="35">
        <f t="shared" si="11"/>
        <v>42735</v>
      </c>
      <c r="D193" s="36">
        <f>J192</f>
        <v>2016</v>
      </c>
      <c r="E193" s="36">
        <f>K192</f>
        <v>366</v>
      </c>
      <c r="F193" s="37">
        <f>L192</f>
        <v>0.104861111111111</v>
      </c>
      <c r="G193" s="38">
        <f>IF((L193-F193)&gt;0,K193-E193,IF((L193-F193)=0,0,K193-E193 -$F$401))</f>
        <v>0</v>
      </c>
      <c r="H193" s="37">
        <f>IF((L193-F193)&gt;0,L193-F193,IF((L193-F193)=0,0,$H$401+L193-F193))</f>
        <v>0</v>
      </c>
      <c r="I193" s="35">
        <f t="shared" si="12"/>
        <v>42735</v>
      </c>
      <c r="J193" s="36">
        <f>D194</f>
        <v>2016</v>
      </c>
      <c r="K193" s="36">
        <f>E194</f>
        <v>366</v>
      </c>
      <c r="L193" s="37">
        <f>F194</f>
        <v>0.104861111111111</v>
      </c>
      <c r="M193" s="41"/>
      <c r="N193" s="42"/>
      <c r="O193" s="43">
        <f>IF(VALUE(LEFT($O194,3))&lt;192,50,IF(VALUE(LEFT($O194,3))&gt;597,50,VLOOKUP(VLOOKUP(VALUE(LEFT($O194,3)),'CIRS Table Info'!$B$6:$J$425,2,FALSE),'CIRS Table Info'!$B$428:$C$431,2,FALSE)))</f>
        <v>606</v>
      </c>
      <c r="P193" s="44">
        <f t="shared" si="16"/>
        <v>1</v>
      </c>
    </row>
    <row r="194" spans="1:16" x14ac:dyDescent="0.2">
      <c r="A194" s="21">
        <v>92</v>
      </c>
      <c r="B194" s="45" t="s">
        <v>508</v>
      </c>
      <c r="C194" s="35">
        <f t="shared" si="11"/>
        <v>42735</v>
      </c>
      <c r="D194" s="39">
        <v>2016</v>
      </c>
      <c r="E194" s="40">
        <v>366</v>
      </c>
      <c r="F194" s="37">
        <v>0.104861111111111</v>
      </c>
      <c r="G194" s="38">
        <v>0</v>
      </c>
      <c r="H194" s="37">
        <v>0.20833333333333301</v>
      </c>
      <c r="I194" s="35">
        <f t="shared" si="12"/>
        <v>42735</v>
      </c>
      <c r="J194" s="47">
        <v>2016</v>
      </c>
      <c r="K194" s="36">
        <v>366</v>
      </c>
      <c r="L194" s="37">
        <v>0.313194444444444</v>
      </c>
      <c r="M194" s="43">
        <v>3600</v>
      </c>
      <c r="N194" s="43">
        <v>64.8</v>
      </c>
      <c r="O194" s="43">
        <v>541</v>
      </c>
      <c r="P194" s="44">
        <f t="shared" si="16"/>
        <v>1</v>
      </c>
    </row>
    <row r="195" spans="1:16" x14ac:dyDescent="0.2">
      <c r="A195" s="21"/>
      <c r="B195" s="45" t="s">
        <v>132</v>
      </c>
      <c r="C195" s="35">
        <f t="shared" si="11"/>
        <v>42735</v>
      </c>
      <c r="D195" s="36">
        <f>J194</f>
        <v>2016</v>
      </c>
      <c r="E195" s="36">
        <f>K194</f>
        <v>366</v>
      </c>
      <c r="F195" s="37">
        <f>L194</f>
        <v>0.313194444444444</v>
      </c>
      <c r="G195" s="38">
        <f>IF((L195-F195)&gt;0,K195-E195,IF((L195-F195)=0,0,K195-E195 -$F$401))</f>
        <v>0</v>
      </c>
      <c r="H195" s="37">
        <f>IF((L195-F195)&gt;0,L195-F195,IF((L195-F195)=0,0,$H$401+L195-F195))</f>
        <v>0</v>
      </c>
      <c r="I195" s="35">
        <f t="shared" si="12"/>
        <v>42735</v>
      </c>
      <c r="J195" s="36">
        <f>D196</f>
        <v>2016</v>
      </c>
      <c r="K195" s="36">
        <f>E196</f>
        <v>366</v>
      </c>
      <c r="L195" s="37">
        <f>F196</f>
        <v>0.313194444444444</v>
      </c>
      <c r="M195" s="41"/>
      <c r="N195" s="42"/>
      <c r="O195" s="43">
        <f>IF(VALUE(LEFT($O196,3))&lt;192,50,IF(VALUE(LEFT($O196,3))&gt;597,50,VLOOKUP(VLOOKUP(VALUE(LEFT($O196,3)),'CIRS Table Info'!$B$6:$J$425,2,FALSE),'CIRS Table Info'!$B$428:$C$431,2,FALSE)))</f>
        <v>606</v>
      </c>
      <c r="P195" s="44">
        <f t="shared" si="16"/>
        <v>1</v>
      </c>
    </row>
    <row r="196" spans="1:16" x14ac:dyDescent="0.2">
      <c r="A196" s="21">
        <v>93</v>
      </c>
      <c r="B196" s="45" t="s">
        <v>509</v>
      </c>
      <c r="C196" s="35">
        <f t="shared" si="11"/>
        <v>42735</v>
      </c>
      <c r="D196" s="39">
        <v>2016</v>
      </c>
      <c r="E196" s="40">
        <v>366</v>
      </c>
      <c r="F196" s="37">
        <v>0.313194444444444</v>
      </c>
      <c r="G196" s="38">
        <v>0</v>
      </c>
      <c r="H196" s="37">
        <v>0.20833333333333301</v>
      </c>
      <c r="I196" s="35">
        <f t="shared" si="12"/>
        <v>42735</v>
      </c>
      <c r="J196" s="47">
        <v>2016</v>
      </c>
      <c r="K196" s="36">
        <v>366</v>
      </c>
      <c r="L196" s="37">
        <v>0.52152777777777803</v>
      </c>
      <c r="M196" s="43">
        <v>3600</v>
      </c>
      <c r="N196" s="43">
        <v>64.8</v>
      </c>
      <c r="O196" s="43">
        <v>541</v>
      </c>
      <c r="P196" s="44">
        <f t="shared" si="16"/>
        <v>1</v>
      </c>
    </row>
    <row r="197" spans="1:16" x14ac:dyDescent="0.2">
      <c r="A197" s="21"/>
      <c r="B197" s="45" t="s">
        <v>133</v>
      </c>
      <c r="C197" s="35">
        <f t="shared" si="11"/>
        <v>42735</v>
      </c>
      <c r="D197" s="36">
        <f>J196</f>
        <v>2016</v>
      </c>
      <c r="E197" s="36">
        <f>K196</f>
        <v>366</v>
      </c>
      <c r="F197" s="37">
        <f>L196</f>
        <v>0.52152777777777803</v>
      </c>
      <c r="G197" s="38">
        <f>IF((L197-F197)&gt;0,K197-E197,IF((L197-F197)=0,0,K197-E197 -$F$401))</f>
        <v>0</v>
      </c>
      <c r="H197" s="37">
        <f>IF((L197-F197)&gt;0,L197-F197,IF((L197-F197)=0,0,$H$401+L197-F197))</f>
        <v>0</v>
      </c>
      <c r="I197" s="35">
        <f t="shared" si="12"/>
        <v>42735</v>
      </c>
      <c r="J197" s="36">
        <f>D198</f>
        <v>2016</v>
      </c>
      <c r="K197" s="36">
        <f>E198</f>
        <v>366</v>
      </c>
      <c r="L197" s="37">
        <f>F198</f>
        <v>0.52152777777777803</v>
      </c>
      <c r="M197" s="41"/>
      <c r="N197" s="42"/>
      <c r="O197" s="43">
        <f>IF(VALUE(LEFT($O198,3))&lt;192,50,IF(VALUE(LEFT($O198,3))&gt;597,50,VLOOKUP(VLOOKUP(VALUE(LEFT($O198,3)),'CIRS Table Info'!$B$6:$J$425,2,FALSE),'CIRS Table Info'!$B$428:$C$431,2,FALSE)))</f>
        <v>606</v>
      </c>
      <c r="P197" s="44">
        <f t="shared" si="16"/>
        <v>1</v>
      </c>
    </row>
    <row r="198" spans="1:16" x14ac:dyDescent="0.2">
      <c r="A198" s="21">
        <v>94</v>
      </c>
      <c r="B198" s="45" t="s">
        <v>510</v>
      </c>
      <c r="C198" s="35">
        <f t="shared" si="11"/>
        <v>42735</v>
      </c>
      <c r="D198" s="39">
        <v>2016</v>
      </c>
      <c r="E198" s="40">
        <v>366</v>
      </c>
      <c r="F198" s="37">
        <v>0.52152777777777803</v>
      </c>
      <c r="G198" s="38">
        <v>0</v>
      </c>
      <c r="H198" s="37">
        <v>0.20833333333333301</v>
      </c>
      <c r="I198" s="35">
        <f t="shared" si="12"/>
        <v>42735</v>
      </c>
      <c r="J198" s="47">
        <v>2016</v>
      </c>
      <c r="K198" s="36">
        <v>366</v>
      </c>
      <c r="L198" s="37">
        <v>0.72986111111111096</v>
      </c>
      <c r="M198" s="43">
        <v>3600</v>
      </c>
      <c r="N198" s="43">
        <v>64.8</v>
      </c>
      <c r="O198" s="43">
        <v>541</v>
      </c>
      <c r="P198" s="44">
        <f t="shared" si="16"/>
        <v>1</v>
      </c>
    </row>
    <row r="199" spans="1:16" x14ac:dyDescent="0.2">
      <c r="A199" s="21"/>
      <c r="B199" s="45" t="s">
        <v>134</v>
      </c>
      <c r="C199" s="35">
        <f t="shared" si="11"/>
        <v>42735</v>
      </c>
      <c r="D199" s="36">
        <f>J198</f>
        <v>2016</v>
      </c>
      <c r="E199" s="36">
        <f>K198</f>
        <v>366</v>
      </c>
      <c r="F199" s="37">
        <f>L198</f>
        <v>0.72986111111111096</v>
      </c>
      <c r="G199" s="38">
        <f>IF((L199-F199)&gt;0,K199-E199,IF((L199-F199)=0,0,K199-E199 -$F$401))</f>
        <v>0</v>
      </c>
      <c r="H199" s="37">
        <f>IF((L199-F199)&gt;0,L199-F199,IF((L199-F199)=0,0,$H$401+L199-F199))</f>
        <v>0</v>
      </c>
      <c r="I199" s="35">
        <f t="shared" si="12"/>
        <v>42735</v>
      </c>
      <c r="J199" s="36">
        <f>D200</f>
        <v>2016</v>
      </c>
      <c r="K199" s="36">
        <f>E200</f>
        <v>366</v>
      </c>
      <c r="L199" s="37">
        <f>F200</f>
        <v>0.72986111111111096</v>
      </c>
      <c r="M199" s="41"/>
      <c r="N199" s="42"/>
      <c r="O199" s="43">
        <f>IF(VALUE(LEFT($O200,3))&lt;192,50,IF(VALUE(LEFT($O200,3))&gt;597,50,VLOOKUP(VLOOKUP(VALUE(LEFT($O200,3)),'CIRS Table Info'!$B$6:$J$425,2,FALSE),'CIRS Table Info'!$B$428:$C$431,2,FALSE)))</f>
        <v>606</v>
      </c>
      <c r="P199" s="44">
        <f t="shared" si="16"/>
        <v>1</v>
      </c>
    </row>
    <row r="200" spans="1:16" x14ac:dyDescent="0.2">
      <c r="A200" s="21">
        <v>95</v>
      </c>
      <c r="B200" s="45" t="s">
        <v>511</v>
      </c>
      <c r="C200" s="35">
        <f t="shared" ref="C200:C265" si="17">DATE(D200,1,E200)</f>
        <v>42735</v>
      </c>
      <c r="D200" s="39">
        <v>2016</v>
      </c>
      <c r="E200" s="40">
        <v>366</v>
      </c>
      <c r="F200" s="37">
        <v>0.72986111111111096</v>
      </c>
      <c r="G200" s="38">
        <v>0</v>
      </c>
      <c r="H200" s="37">
        <v>0.20833333333333301</v>
      </c>
      <c r="I200" s="35">
        <f t="shared" si="12"/>
        <v>42735</v>
      </c>
      <c r="J200" s="47">
        <v>2016</v>
      </c>
      <c r="K200" s="36">
        <v>366</v>
      </c>
      <c r="L200" s="37">
        <v>0.938194444444444</v>
      </c>
      <c r="M200" s="43">
        <v>3600</v>
      </c>
      <c r="N200" s="43">
        <v>64.8</v>
      </c>
      <c r="O200" s="43">
        <v>541</v>
      </c>
      <c r="P200" s="44">
        <f t="shared" si="16"/>
        <v>1</v>
      </c>
    </row>
    <row r="201" spans="1:16" x14ac:dyDescent="0.2">
      <c r="A201" s="21"/>
      <c r="B201" s="45" t="s">
        <v>135</v>
      </c>
      <c r="C201" s="35">
        <f t="shared" si="17"/>
        <v>42735</v>
      </c>
      <c r="D201" s="36">
        <f>J200</f>
        <v>2016</v>
      </c>
      <c r="E201" s="36">
        <f>K200</f>
        <v>366</v>
      </c>
      <c r="F201" s="37">
        <f>L200</f>
        <v>0.938194444444444</v>
      </c>
      <c r="G201" s="38">
        <f>IF((L201-F201)&gt;0,K201-E201,IF((L201-F201)=0,0,K201-E201 -$F$401))</f>
        <v>0</v>
      </c>
      <c r="H201" s="37">
        <f>IF((L201-F201)&gt;0,L201-F201,IF((L201-F201)=0,0,$H$401+L201-F201))</f>
        <v>0</v>
      </c>
      <c r="I201" s="35">
        <f t="shared" ref="I201:I266" si="18">DATE(J201,1,K201)</f>
        <v>42735</v>
      </c>
      <c r="J201" s="36">
        <f>D202</f>
        <v>2016</v>
      </c>
      <c r="K201" s="36">
        <f>E202</f>
        <v>366</v>
      </c>
      <c r="L201" s="37">
        <f>F202</f>
        <v>0.938194444444444</v>
      </c>
      <c r="M201" s="41"/>
      <c r="N201" s="42"/>
      <c r="O201" s="43">
        <f>IF(VALUE(LEFT($O202,3))&lt;192,50,IF(VALUE(LEFT($O202,3))&gt;597,50,VLOOKUP(VLOOKUP(VALUE(LEFT($O202,3)),'CIRS Table Info'!$B$6:$J$425,2,FALSE),'CIRS Table Info'!$B$428:$C$431,2,FALSE)))</f>
        <v>606</v>
      </c>
      <c r="P201" s="44">
        <f t="shared" si="16"/>
        <v>1</v>
      </c>
    </row>
    <row r="202" spans="1:16" x14ac:dyDescent="0.2">
      <c r="A202" s="21">
        <v>96</v>
      </c>
      <c r="B202" s="45" t="s">
        <v>512</v>
      </c>
      <c r="C202" s="35">
        <f t="shared" si="17"/>
        <v>42735</v>
      </c>
      <c r="D202" s="39">
        <v>2016</v>
      </c>
      <c r="E202" s="40">
        <v>366</v>
      </c>
      <c r="F202" s="37">
        <v>0.938194444444444</v>
      </c>
      <c r="G202" s="38">
        <v>0</v>
      </c>
      <c r="H202" s="37">
        <v>3.54166666666667E-2</v>
      </c>
      <c r="I202" s="35">
        <f t="shared" si="18"/>
        <v>42735</v>
      </c>
      <c r="J202" s="47">
        <v>2016</v>
      </c>
      <c r="K202" s="36">
        <v>366</v>
      </c>
      <c r="L202" s="37">
        <v>0.97361111111111098</v>
      </c>
      <c r="M202" s="43">
        <v>3600</v>
      </c>
      <c r="N202" s="43">
        <v>11.016</v>
      </c>
      <c r="O202" s="43">
        <v>541</v>
      </c>
      <c r="P202" s="44">
        <f t="shared" si="16"/>
        <v>1</v>
      </c>
    </row>
    <row r="203" spans="1:16" x14ac:dyDescent="0.2">
      <c r="A203" s="21"/>
      <c r="B203" s="45" t="s">
        <v>136</v>
      </c>
      <c r="C203" s="35">
        <f t="shared" si="17"/>
        <v>42735</v>
      </c>
      <c r="D203" s="36">
        <f>J202</f>
        <v>2016</v>
      </c>
      <c r="E203" s="36">
        <f>K202</f>
        <v>366</v>
      </c>
      <c r="F203" s="37">
        <f>L202</f>
        <v>0.97361111111111098</v>
      </c>
      <c r="G203" s="38">
        <v>0</v>
      </c>
      <c r="H203" s="37">
        <f>IF((L203-F203)&gt;0,L203-F203,IF((L203-F203)=0,0,$H$401+L203-F203))</f>
        <v>0.13194444444444509</v>
      </c>
      <c r="I203" s="35">
        <f t="shared" si="18"/>
        <v>42736</v>
      </c>
      <c r="J203" s="36">
        <f>D204</f>
        <v>2017</v>
      </c>
      <c r="K203" s="36">
        <f>E204</f>
        <v>1</v>
      </c>
      <c r="L203" s="37">
        <f>F204</f>
        <v>0.105555555555556</v>
      </c>
      <c r="M203" s="41"/>
      <c r="N203" s="42"/>
      <c r="O203" s="43">
        <f>IF(VALUE(LEFT($O204,3))&lt;192,50,IF(VALUE(LEFT($O204,3))&gt;597,50,VLOOKUP(VLOOKUP(VALUE(LEFT($O204,3)),'CIRS Table Info'!$B$6:$J$425,2,FALSE),'CIRS Table Info'!$B$428:$C$431,2,FALSE)))</f>
        <v>50</v>
      </c>
      <c r="P203" s="44">
        <f t="shared" si="16"/>
        <v>10</v>
      </c>
    </row>
    <row r="204" spans="1:16" x14ac:dyDescent="0.2">
      <c r="A204" s="21">
        <v>97</v>
      </c>
      <c r="B204" s="45" t="s">
        <v>513</v>
      </c>
      <c r="C204" s="35">
        <f t="shared" si="17"/>
        <v>42736</v>
      </c>
      <c r="D204" s="39">
        <v>2017</v>
      </c>
      <c r="E204" s="40">
        <v>1</v>
      </c>
      <c r="F204" s="37">
        <v>0.105555555555556</v>
      </c>
      <c r="G204" s="38">
        <v>0</v>
      </c>
      <c r="H204" s="37">
        <v>0.12291666666666699</v>
      </c>
      <c r="I204" s="35">
        <f t="shared" si="18"/>
        <v>42736</v>
      </c>
      <c r="J204" s="47">
        <v>2017</v>
      </c>
      <c r="K204" s="36">
        <v>1</v>
      </c>
      <c r="L204" s="37">
        <v>0.22847222222222199</v>
      </c>
      <c r="M204" s="43">
        <v>3000</v>
      </c>
      <c r="N204" s="43">
        <v>31.86</v>
      </c>
      <c r="O204" s="43">
        <f>IF(MID(B204,6,7)="NO_DATA",50,IF(N204=0,50,IF(A204="", " ",846)))</f>
        <v>846</v>
      </c>
      <c r="P204" s="44">
        <f t="shared" si="16"/>
        <v>1</v>
      </c>
    </row>
    <row r="205" spans="1:16" x14ac:dyDescent="0.2">
      <c r="A205" s="21"/>
      <c r="B205" s="45" t="s">
        <v>137</v>
      </c>
      <c r="C205" s="35">
        <f t="shared" si="17"/>
        <v>42736</v>
      </c>
      <c r="D205" s="36">
        <f>J204</f>
        <v>2017</v>
      </c>
      <c r="E205" s="36">
        <f>K204</f>
        <v>1</v>
      </c>
      <c r="F205" s="37">
        <f>L204</f>
        <v>0.22847222222222199</v>
      </c>
      <c r="G205" s="38">
        <f>IF((L205-F205)&gt;0,K205-E205,IF((L205-F205)=0,0,K205-E205 -$F$401))</f>
        <v>0</v>
      </c>
      <c r="H205" s="37">
        <f>IF((L205-F205)&gt;0,L205-F205,IF((L205-F205)=0,0,$H$401+L205-F205))</f>
        <v>0.35902777777777806</v>
      </c>
      <c r="I205" s="35">
        <f t="shared" si="18"/>
        <v>42736</v>
      </c>
      <c r="J205" s="36">
        <f>D206</f>
        <v>2017</v>
      </c>
      <c r="K205" s="36">
        <f>E206</f>
        <v>1</v>
      </c>
      <c r="L205" s="37">
        <f>F206</f>
        <v>0.58750000000000002</v>
      </c>
      <c r="M205" s="41"/>
      <c r="N205" s="42"/>
      <c r="O205" s="43">
        <f>IF(VALUE(LEFT($O206,3))&lt;192,50,IF(VALUE(LEFT($O206,3))&gt;597,50,VLOOKUP(VLOOKUP(VALUE(LEFT($O206,3)),'CIRS Table Info'!$B$6:$J$425,2,FALSE),'CIRS Table Info'!$B$428:$C$431,2,FALSE)))</f>
        <v>600</v>
      </c>
      <c r="P205" s="44">
        <f t="shared" si="16"/>
        <v>1</v>
      </c>
    </row>
    <row r="206" spans="1:16" x14ac:dyDescent="0.2">
      <c r="A206" s="21">
        <v>98</v>
      </c>
      <c r="B206" s="45" t="s">
        <v>514</v>
      </c>
      <c r="C206" s="35">
        <f t="shared" si="17"/>
        <v>42736</v>
      </c>
      <c r="D206" s="39">
        <v>2017</v>
      </c>
      <c r="E206" s="40">
        <v>1</v>
      </c>
      <c r="F206" s="37">
        <v>0.58750000000000002</v>
      </c>
      <c r="G206" s="38">
        <v>0</v>
      </c>
      <c r="H206" s="37">
        <v>0.17013888888888901</v>
      </c>
      <c r="I206" s="35">
        <f t="shared" si="18"/>
        <v>42736</v>
      </c>
      <c r="J206" s="47">
        <v>2017</v>
      </c>
      <c r="K206" s="36">
        <v>1</v>
      </c>
      <c r="L206" s="37">
        <v>0.75763888888888897</v>
      </c>
      <c r="M206" s="43">
        <v>2200</v>
      </c>
      <c r="N206" s="43">
        <v>32.340000000000003</v>
      </c>
      <c r="O206" s="43">
        <v>550</v>
      </c>
      <c r="P206" s="44">
        <f t="shared" si="16"/>
        <v>1</v>
      </c>
    </row>
    <row r="207" spans="1:16" x14ac:dyDescent="0.2">
      <c r="A207" s="21"/>
      <c r="B207" s="45" t="s">
        <v>138</v>
      </c>
      <c r="C207" s="35">
        <f t="shared" si="17"/>
        <v>42736</v>
      </c>
      <c r="D207" s="36">
        <f>J206</f>
        <v>2017</v>
      </c>
      <c r="E207" s="36">
        <f>K206</f>
        <v>1</v>
      </c>
      <c r="F207" s="37">
        <f>L206</f>
        <v>0.75763888888888897</v>
      </c>
      <c r="G207" s="38">
        <f>IF((L207-F207)&gt;0,K207-E207,IF((L207-F207)=0,0,K207-E207 -$F$401))</f>
        <v>0</v>
      </c>
      <c r="H207" s="37">
        <f>IF((L207-F207)&gt;0,L207-F207,IF((L207-F207)=0,0,$H$401+L207-F207))</f>
        <v>0</v>
      </c>
      <c r="I207" s="35">
        <f t="shared" si="18"/>
        <v>42736</v>
      </c>
      <c r="J207" s="36">
        <f>D208</f>
        <v>2017</v>
      </c>
      <c r="K207" s="36">
        <f>E208</f>
        <v>1</v>
      </c>
      <c r="L207" s="37">
        <f>F208</f>
        <v>0.75763888888888897</v>
      </c>
      <c r="M207" s="41"/>
      <c r="N207" s="42"/>
      <c r="O207" s="43">
        <f>IF(VALUE(LEFT($O208,3))&lt;192,50,IF(VALUE(LEFT($O208,3))&gt;597,50,VLOOKUP(VLOOKUP(VALUE(LEFT($O208,3)),'CIRS Table Info'!$B$6:$J$425,2,FALSE),'CIRS Table Info'!$B$428:$C$431,2,FALSE)))</f>
        <v>600</v>
      </c>
      <c r="P207" s="44">
        <f t="shared" si="16"/>
        <v>1</v>
      </c>
    </row>
    <row r="208" spans="1:16" x14ac:dyDescent="0.2">
      <c r="A208" s="21">
        <v>99</v>
      </c>
      <c r="B208" s="45" t="s">
        <v>515</v>
      </c>
      <c r="C208" s="35">
        <f t="shared" si="17"/>
        <v>42736</v>
      </c>
      <c r="D208" s="39">
        <v>2017</v>
      </c>
      <c r="E208" s="40">
        <v>1</v>
      </c>
      <c r="F208" s="37">
        <v>0.75763888888888897</v>
      </c>
      <c r="G208" s="38">
        <v>0</v>
      </c>
      <c r="H208" s="37">
        <v>0.141666666666667</v>
      </c>
      <c r="I208" s="35">
        <f t="shared" si="18"/>
        <v>42736</v>
      </c>
      <c r="J208" s="47">
        <v>2017</v>
      </c>
      <c r="K208" s="36">
        <v>1</v>
      </c>
      <c r="L208" s="37">
        <v>0.89930555555555503</v>
      </c>
      <c r="M208" s="43">
        <v>2200</v>
      </c>
      <c r="N208" s="43">
        <v>26.928000000000001</v>
      </c>
      <c r="O208" s="43">
        <v>500</v>
      </c>
      <c r="P208" s="44">
        <f t="shared" si="16"/>
        <v>1</v>
      </c>
    </row>
    <row r="209" spans="1:16" x14ac:dyDescent="0.2">
      <c r="A209" s="21"/>
      <c r="B209" s="45" t="s">
        <v>139</v>
      </c>
      <c r="C209" s="35">
        <f t="shared" si="17"/>
        <v>42736</v>
      </c>
      <c r="D209" s="36">
        <f>J208</f>
        <v>2017</v>
      </c>
      <c r="E209" s="36">
        <f>K208</f>
        <v>1</v>
      </c>
      <c r="F209" s="37">
        <f>L208</f>
        <v>0.89930555555555503</v>
      </c>
      <c r="G209" s="38">
        <f>IF((L209-F209)&gt;0,K209-E209,IF((L209-F209)=0,0,K209-E209 -$F$401))</f>
        <v>0</v>
      </c>
      <c r="H209" s="37">
        <f>IF((L209-F209)&gt;0,L209-F209,IF((L209-F209)=0,0,$H$401+L209-F209))</f>
        <v>0</v>
      </c>
      <c r="I209" s="35">
        <f t="shared" si="18"/>
        <v>42736</v>
      </c>
      <c r="J209" s="36">
        <f>D210</f>
        <v>2017</v>
      </c>
      <c r="K209" s="36">
        <f>E210</f>
        <v>1</v>
      </c>
      <c r="L209" s="37">
        <f>F210</f>
        <v>0.89930555555555503</v>
      </c>
      <c r="M209" s="41"/>
      <c r="N209" s="42"/>
      <c r="O209" s="43">
        <f>IF(VALUE(LEFT($O210,3))&lt;192,50,IF(VALUE(LEFT($O210,3))&gt;597,50,VLOOKUP(VLOOKUP(VALUE(LEFT($O210,3)),'CIRS Table Info'!$B$6:$J$425,2,FALSE),'CIRS Table Info'!$B$428:$C$431,2,FALSE)))</f>
        <v>600</v>
      </c>
      <c r="P209" s="44">
        <f t="shared" si="16"/>
        <v>1</v>
      </c>
    </row>
    <row r="210" spans="1:16" x14ac:dyDescent="0.2">
      <c r="A210" s="21">
        <v>100</v>
      </c>
      <c r="B210" s="45" t="s">
        <v>516</v>
      </c>
      <c r="C210" s="35">
        <f t="shared" si="17"/>
        <v>42736</v>
      </c>
      <c r="D210" s="39">
        <v>2017</v>
      </c>
      <c r="E210" s="40">
        <v>1</v>
      </c>
      <c r="F210" s="37">
        <v>0.89930555555555503</v>
      </c>
      <c r="G210" s="38">
        <v>0</v>
      </c>
      <c r="H210" s="37">
        <v>0.16111111111111101</v>
      </c>
      <c r="I210" s="35">
        <f t="shared" si="18"/>
        <v>42737</v>
      </c>
      <c r="J210" s="47">
        <v>2017</v>
      </c>
      <c r="K210" s="36">
        <v>2</v>
      </c>
      <c r="L210" s="37">
        <v>6.0416666666666702E-2</v>
      </c>
      <c r="M210" s="43">
        <v>2200</v>
      </c>
      <c r="N210" s="43">
        <v>30.623999999999999</v>
      </c>
      <c r="O210" s="471" t="s">
        <v>642</v>
      </c>
      <c r="P210" s="472" t="s">
        <v>639</v>
      </c>
    </row>
    <row r="211" spans="1:16" x14ac:dyDescent="0.2">
      <c r="A211" s="21"/>
      <c r="B211" s="45" t="s">
        <v>140</v>
      </c>
      <c r="C211" s="35">
        <f t="shared" si="17"/>
        <v>42737</v>
      </c>
      <c r="D211" s="36">
        <f>J210</f>
        <v>2017</v>
      </c>
      <c r="E211" s="36">
        <f>K210</f>
        <v>2</v>
      </c>
      <c r="F211" s="37">
        <f>L210</f>
        <v>6.0416666666666702E-2</v>
      </c>
      <c r="G211" s="38">
        <f>IF((L211-F211)&gt;0,K211-E211,IF((L211-F211)=0,0,K211-E211 -$F$401))</f>
        <v>0</v>
      </c>
      <c r="H211" s="37">
        <f>IF((L211-F211)&gt;0,L211-F211,IF((L211-F211)=0,0,$H$401+L211-F211))</f>
        <v>0</v>
      </c>
      <c r="I211" s="35">
        <f t="shared" si="18"/>
        <v>42737</v>
      </c>
      <c r="J211" s="36">
        <f>D212</f>
        <v>2017</v>
      </c>
      <c r="K211" s="36">
        <f>E212</f>
        <v>2</v>
      </c>
      <c r="L211" s="37">
        <f>F212</f>
        <v>6.0416666666666702E-2</v>
      </c>
      <c r="M211" s="41"/>
      <c r="N211" s="42"/>
      <c r="O211" s="43">
        <f>IF(VALUE(LEFT($O212,3))&lt;192,50,IF(VALUE(LEFT($O212,3))&gt;597,50,VLOOKUP(VLOOKUP(VALUE(LEFT($O212,3)),'CIRS Table Info'!$B$6:$J$425,2,FALSE),'CIRS Table Info'!$B$428:$C$431,2,FALSE)))</f>
        <v>600</v>
      </c>
      <c r="P211" s="44">
        <f t="shared" ref="P211:P219" si="19">IF(O211=50,10,1)</f>
        <v>1</v>
      </c>
    </row>
    <row r="212" spans="1:16" x14ac:dyDescent="0.2">
      <c r="A212" s="21">
        <v>101</v>
      </c>
      <c r="B212" s="45" t="s">
        <v>519</v>
      </c>
      <c r="C212" s="35">
        <f t="shared" si="17"/>
        <v>42737</v>
      </c>
      <c r="D212" s="39">
        <v>2017</v>
      </c>
      <c r="E212" s="40">
        <v>2</v>
      </c>
      <c r="F212" s="37">
        <v>6.0416666666666702E-2</v>
      </c>
      <c r="G212" s="38">
        <v>0</v>
      </c>
      <c r="H212" s="37">
        <v>0.125</v>
      </c>
      <c r="I212" s="35">
        <f t="shared" si="18"/>
        <v>42737</v>
      </c>
      <c r="J212" s="47">
        <v>2017</v>
      </c>
      <c r="K212" s="36">
        <v>2</v>
      </c>
      <c r="L212" s="37">
        <v>0.18541666666666701</v>
      </c>
      <c r="M212" s="43">
        <v>4000</v>
      </c>
      <c r="N212" s="43">
        <v>43.2</v>
      </c>
      <c r="O212" s="43">
        <v>453</v>
      </c>
      <c r="P212" s="44">
        <f t="shared" si="19"/>
        <v>1</v>
      </c>
    </row>
    <row r="213" spans="1:16" x14ac:dyDescent="0.2">
      <c r="A213" s="21"/>
      <c r="B213" s="45" t="s">
        <v>141</v>
      </c>
      <c r="C213" s="35">
        <f t="shared" si="17"/>
        <v>42737</v>
      </c>
      <c r="D213" s="36">
        <f>J212</f>
        <v>2017</v>
      </c>
      <c r="E213" s="36">
        <f>K212</f>
        <v>2</v>
      </c>
      <c r="F213" s="37">
        <f>L212</f>
        <v>0.18541666666666701</v>
      </c>
      <c r="G213" s="38">
        <f>IF((L213-F213)&gt;0,K213-E213,IF((L213-F213)=0,0,K213-E213 -$F$401))</f>
        <v>0</v>
      </c>
      <c r="H213" s="37">
        <f>IF((L213-F213)&gt;0,L213-F213,IF((L213-F213)=0,0,$H$401+L213-F213))</f>
        <v>0.23125000000000001</v>
      </c>
      <c r="I213" s="35">
        <f t="shared" si="18"/>
        <v>42737</v>
      </c>
      <c r="J213" s="36">
        <f>D214</f>
        <v>2017</v>
      </c>
      <c r="K213" s="36">
        <f>E214</f>
        <v>2</v>
      </c>
      <c r="L213" s="37">
        <f>F214</f>
        <v>0.41666666666666702</v>
      </c>
      <c r="M213" s="41"/>
      <c r="N213" s="42"/>
      <c r="O213" s="43">
        <f>IF(VALUE(LEFT($O214,3))&lt;192,50,IF(VALUE(LEFT($O214,3))&gt;597,50,VLOOKUP(VLOOKUP(VALUE(LEFT($O214,3)),'CIRS Table Info'!$B$6:$J$425,2,FALSE),'CIRS Table Info'!$B$428:$C$431,2,FALSE)))</f>
        <v>50</v>
      </c>
      <c r="P213" s="44">
        <f t="shared" si="19"/>
        <v>10</v>
      </c>
    </row>
    <row r="214" spans="1:16" x14ac:dyDescent="0.2">
      <c r="A214" s="21">
        <v>102</v>
      </c>
      <c r="B214" s="45" t="s">
        <v>520</v>
      </c>
      <c r="C214" s="35">
        <f t="shared" si="17"/>
        <v>42737</v>
      </c>
      <c r="D214" s="39">
        <v>2017</v>
      </c>
      <c r="E214" s="40">
        <v>2</v>
      </c>
      <c r="F214" s="37">
        <v>0.41666666666666702</v>
      </c>
      <c r="G214" s="38">
        <v>0</v>
      </c>
      <c r="H214" s="37">
        <v>0.104166666666667</v>
      </c>
      <c r="I214" s="35">
        <f t="shared" si="18"/>
        <v>42737</v>
      </c>
      <c r="J214" s="47">
        <v>2017</v>
      </c>
      <c r="K214" s="36">
        <v>2</v>
      </c>
      <c r="L214" s="37">
        <v>0.52083333333333304</v>
      </c>
      <c r="M214" s="43">
        <v>4000</v>
      </c>
      <c r="N214" s="43">
        <v>36</v>
      </c>
      <c r="O214" s="43">
        <f>IF(MID(B214,6,7)="NO_DATA",50,IF(N214=0,50,IF(A214="", " ",851)))</f>
        <v>851</v>
      </c>
      <c r="P214" s="44">
        <f t="shared" si="19"/>
        <v>1</v>
      </c>
    </row>
    <row r="215" spans="1:16" x14ac:dyDescent="0.2">
      <c r="A215" s="21"/>
      <c r="B215" s="45" t="s">
        <v>142</v>
      </c>
      <c r="C215" s="35">
        <f t="shared" si="17"/>
        <v>42737</v>
      </c>
      <c r="D215" s="36">
        <f>J214</f>
        <v>2017</v>
      </c>
      <c r="E215" s="36">
        <f>K214</f>
        <v>2</v>
      </c>
      <c r="F215" s="37">
        <f>L214</f>
        <v>0.52083333333333304</v>
      </c>
      <c r="G215" s="38">
        <f>IF((L215-F215)&gt;0,K215-E215,IF((L215-F215)=0,0,K215-E215 -$F$401))</f>
        <v>0</v>
      </c>
      <c r="H215" s="37">
        <f>IF((L215-F215)&gt;0,L215-F215,IF((L215-F215)=0,0,$H$401+L215-F215))</f>
        <v>6.9444444444449749E-3</v>
      </c>
      <c r="I215" s="35">
        <f t="shared" si="18"/>
        <v>42737</v>
      </c>
      <c r="J215" s="36">
        <f>D216</f>
        <v>2017</v>
      </c>
      <c r="K215" s="36">
        <f>E216</f>
        <v>2</v>
      </c>
      <c r="L215" s="37">
        <f>F216</f>
        <v>0.52777777777777801</v>
      </c>
      <c r="M215" s="41"/>
      <c r="N215" s="42"/>
      <c r="O215" s="43">
        <f>IF(VALUE(LEFT($O216,3))&lt;192,50,IF(VALUE(LEFT($O216,3))&gt;597,50,VLOOKUP(VLOOKUP(VALUE(LEFT($O216,3)),'CIRS Table Info'!$B$6:$J$425,2,FALSE),'CIRS Table Info'!$B$428:$C$431,2,FALSE)))</f>
        <v>600</v>
      </c>
      <c r="P215" s="44">
        <f t="shared" si="19"/>
        <v>1</v>
      </c>
    </row>
    <row r="216" spans="1:16" x14ac:dyDescent="0.2">
      <c r="A216" s="21">
        <v>103</v>
      </c>
      <c r="B216" s="45" t="s">
        <v>523</v>
      </c>
      <c r="C216" s="35">
        <f t="shared" si="17"/>
        <v>42737</v>
      </c>
      <c r="D216" s="39">
        <v>2017</v>
      </c>
      <c r="E216" s="40">
        <v>2</v>
      </c>
      <c r="F216" s="37">
        <v>0.52777777777777801</v>
      </c>
      <c r="G216" s="38">
        <v>0</v>
      </c>
      <c r="H216" s="37">
        <v>8.3333333333333301E-2</v>
      </c>
      <c r="I216" s="35">
        <f t="shared" si="18"/>
        <v>42737</v>
      </c>
      <c r="J216" s="47">
        <v>2017</v>
      </c>
      <c r="K216" s="36">
        <v>2</v>
      </c>
      <c r="L216" s="37">
        <v>0.61111111111111105</v>
      </c>
      <c r="M216" s="43">
        <v>400</v>
      </c>
      <c r="N216" s="43">
        <v>2.88</v>
      </c>
      <c r="O216" s="43">
        <v>192</v>
      </c>
      <c r="P216" s="44">
        <f t="shared" si="19"/>
        <v>1</v>
      </c>
    </row>
    <row r="217" spans="1:16" x14ac:dyDescent="0.2">
      <c r="A217" s="21"/>
      <c r="B217" s="45" t="s">
        <v>143</v>
      </c>
      <c r="C217" s="35">
        <f t="shared" si="17"/>
        <v>42737</v>
      </c>
      <c r="D217" s="36">
        <f>J216</f>
        <v>2017</v>
      </c>
      <c r="E217" s="36">
        <f>K216</f>
        <v>2</v>
      </c>
      <c r="F217" s="37">
        <f>L216</f>
        <v>0.61111111111111105</v>
      </c>
      <c r="G217" s="38">
        <f>IF((L217-F217)&gt;0,K217-E217,IF((L217-F217)=0,0,K217-E217 -$F$401))</f>
        <v>0</v>
      </c>
      <c r="H217" s="37">
        <f>IF((L217-F217)&gt;0,L217-F217,IF((L217-F217)=0,0,$H$401+L217-F217))</f>
        <v>0</v>
      </c>
      <c r="I217" s="35">
        <f t="shared" si="18"/>
        <v>42737</v>
      </c>
      <c r="J217" s="36">
        <f>D218</f>
        <v>2017</v>
      </c>
      <c r="K217" s="36">
        <f>E218</f>
        <v>2</v>
      </c>
      <c r="L217" s="37">
        <f>F218</f>
        <v>0.61111111111111105</v>
      </c>
      <c r="M217" s="41"/>
      <c r="N217" s="42"/>
      <c r="O217" s="43">
        <f>IF(VALUE(LEFT($O218,3))&lt;192,50,IF(VALUE(LEFT($O218,3))&gt;597,50,VLOOKUP(VLOOKUP(VALUE(LEFT($O218,3)),'CIRS Table Info'!$B$6:$J$425,2,FALSE),'CIRS Table Info'!$B$428:$C$431,2,FALSE)))</f>
        <v>600</v>
      </c>
      <c r="P217" s="44">
        <f t="shared" si="19"/>
        <v>1</v>
      </c>
    </row>
    <row r="218" spans="1:16" x14ac:dyDescent="0.2">
      <c r="A218" s="21">
        <v>104</v>
      </c>
      <c r="B218" s="45" t="s">
        <v>524</v>
      </c>
      <c r="C218" s="35">
        <f t="shared" si="17"/>
        <v>42737</v>
      </c>
      <c r="D218" s="39">
        <v>2017</v>
      </c>
      <c r="E218" s="40">
        <v>2</v>
      </c>
      <c r="F218" s="37">
        <v>0.61111111111111105</v>
      </c>
      <c r="G218" s="38">
        <v>0</v>
      </c>
      <c r="H218" s="37">
        <v>0.125</v>
      </c>
      <c r="I218" s="35">
        <f t="shared" si="18"/>
        <v>42737</v>
      </c>
      <c r="J218" s="47">
        <v>2017</v>
      </c>
      <c r="K218" s="36">
        <v>2</v>
      </c>
      <c r="L218" s="37">
        <v>0.73611111111111105</v>
      </c>
      <c r="M218" s="43">
        <v>2200</v>
      </c>
      <c r="N218" s="43">
        <v>23.76</v>
      </c>
      <c r="O218" s="43">
        <v>450</v>
      </c>
      <c r="P218" s="44">
        <f t="shared" si="19"/>
        <v>1</v>
      </c>
    </row>
    <row r="219" spans="1:16" x14ac:dyDescent="0.2">
      <c r="A219" s="21"/>
      <c r="B219" s="45" t="s">
        <v>144</v>
      </c>
      <c r="C219" s="35">
        <f t="shared" si="17"/>
        <v>42737</v>
      </c>
      <c r="D219" s="36">
        <f>J218</f>
        <v>2017</v>
      </c>
      <c r="E219" s="36">
        <f>K218</f>
        <v>2</v>
      </c>
      <c r="F219" s="37">
        <f>L218</f>
        <v>0.73611111111111105</v>
      </c>
      <c r="G219" s="38">
        <f>IF((L219-F219)&gt;0,K219-E219,IF((L219-F219)=0,0,K219-E219 -$F$401))</f>
        <v>0</v>
      </c>
      <c r="H219" s="37">
        <f>IF((L219-F219)&gt;0,L219-F219,IF((L219-F219)=0,0,$H$401+L219-F219))</f>
        <v>0</v>
      </c>
      <c r="I219" s="35">
        <f t="shared" si="18"/>
        <v>42737</v>
      </c>
      <c r="J219" s="36">
        <f>D220</f>
        <v>2017</v>
      </c>
      <c r="K219" s="36">
        <f>E220</f>
        <v>2</v>
      </c>
      <c r="L219" s="37">
        <f>F220</f>
        <v>0.73611111111111105</v>
      </c>
      <c r="M219" s="41"/>
      <c r="N219" s="42"/>
      <c r="O219" s="43">
        <f>IF(VALUE(LEFT($O220,3))&lt;192,50,IF(VALUE(LEFT($O220,3))&gt;597,50,VLOOKUP(VLOOKUP(VALUE(LEFT($O220,3)),'CIRS Table Info'!$B$6:$J$425,2,FALSE),'CIRS Table Info'!$B$428:$C$431,2,FALSE)))</f>
        <v>600</v>
      </c>
      <c r="P219" s="44">
        <f t="shared" si="19"/>
        <v>1</v>
      </c>
    </row>
    <row r="220" spans="1:16" x14ac:dyDescent="0.2">
      <c r="A220" s="21">
        <v>105</v>
      </c>
      <c r="B220" s="45" t="s">
        <v>525</v>
      </c>
      <c r="C220" s="35">
        <f t="shared" si="17"/>
        <v>42737</v>
      </c>
      <c r="D220" s="39">
        <v>2017</v>
      </c>
      <c r="E220" s="40">
        <v>2</v>
      </c>
      <c r="F220" s="37">
        <v>0.73611111111111105</v>
      </c>
      <c r="G220" s="38">
        <v>0</v>
      </c>
      <c r="H220" s="37">
        <v>0.20833333333333301</v>
      </c>
      <c r="I220" s="35">
        <f t="shared" si="18"/>
        <v>42737</v>
      </c>
      <c r="J220" s="47">
        <v>2017</v>
      </c>
      <c r="K220" s="36">
        <v>2</v>
      </c>
      <c r="L220" s="37">
        <v>0.94444444444444497</v>
      </c>
      <c r="M220" s="43">
        <v>2200</v>
      </c>
      <c r="N220" s="43">
        <v>39.6</v>
      </c>
      <c r="O220" s="471" t="s">
        <v>642</v>
      </c>
      <c r="P220" s="472" t="s">
        <v>639</v>
      </c>
    </row>
    <row r="221" spans="1:16" x14ac:dyDescent="0.2">
      <c r="A221" s="21"/>
      <c r="B221" s="45" t="s">
        <v>145</v>
      </c>
      <c r="C221" s="35">
        <f t="shared" si="17"/>
        <v>42737</v>
      </c>
      <c r="D221" s="36">
        <f>J220</f>
        <v>2017</v>
      </c>
      <c r="E221" s="36">
        <f>K220</f>
        <v>2</v>
      </c>
      <c r="F221" s="37">
        <f>L220</f>
        <v>0.94444444444444497</v>
      </c>
      <c r="G221" s="38">
        <f>IF((L221-F221)&gt;0,K221-E221,IF((L221-F221)=0,0,K221-E221 -$F$401))</f>
        <v>0</v>
      </c>
      <c r="H221" s="37">
        <f>IF((L221-F221)&gt;0,L221-F221,IF((L221-F221)=0,0,$H$401+L221-F221))</f>
        <v>0.34652777777777699</v>
      </c>
      <c r="I221" s="35">
        <f t="shared" si="18"/>
        <v>42738</v>
      </c>
      <c r="J221" s="36">
        <f>D222</f>
        <v>2017</v>
      </c>
      <c r="K221" s="36">
        <f>E222</f>
        <v>3</v>
      </c>
      <c r="L221" s="37">
        <f>F222</f>
        <v>0.29097222222222202</v>
      </c>
      <c r="M221" s="41"/>
      <c r="N221" s="42"/>
      <c r="O221" s="43">
        <f>IF(VALUE(LEFT($O222,3))&lt;192,50,IF(VALUE(LEFT($O222,3))&gt;597,50,VLOOKUP(VLOOKUP(VALUE(LEFT($O222,3)),'CIRS Table Info'!$B$6:$J$425,2,FALSE),'CIRS Table Info'!$B$428:$C$431,2,FALSE)))</f>
        <v>50</v>
      </c>
      <c r="P221" s="44">
        <f>IF(O221=50,10,1)</f>
        <v>10</v>
      </c>
    </row>
    <row r="222" spans="1:16" x14ac:dyDescent="0.2">
      <c r="A222" s="21">
        <v>106</v>
      </c>
      <c r="B222" s="45" t="s">
        <v>529</v>
      </c>
      <c r="C222" s="35">
        <f t="shared" si="17"/>
        <v>42738</v>
      </c>
      <c r="D222" s="39">
        <v>2017</v>
      </c>
      <c r="E222" s="40">
        <v>3</v>
      </c>
      <c r="F222" s="37">
        <v>0.29097222222222202</v>
      </c>
      <c r="G222" s="38">
        <v>0</v>
      </c>
      <c r="H222" s="37">
        <v>0.25</v>
      </c>
      <c r="I222" s="35">
        <f t="shared" si="18"/>
        <v>42738</v>
      </c>
      <c r="J222" s="47">
        <v>2017</v>
      </c>
      <c r="K222" s="36">
        <v>3</v>
      </c>
      <c r="L222" s="37">
        <v>0.54097222222222197</v>
      </c>
      <c r="M222" s="43">
        <v>3000</v>
      </c>
      <c r="N222" s="43">
        <v>64.8</v>
      </c>
      <c r="O222" s="43">
        <f>IF(MID(B222,6,7)="NO_DATA",50,IF(N222=0,50,IF(A222="", " ",855)))</f>
        <v>855</v>
      </c>
      <c r="P222" s="44">
        <f>IF(O222=50,10,1)</f>
        <v>1</v>
      </c>
    </row>
    <row r="223" spans="1:16" x14ac:dyDescent="0.2">
      <c r="A223" s="21"/>
      <c r="B223" s="45" t="s">
        <v>146</v>
      </c>
      <c r="C223" s="35">
        <f t="shared" si="17"/>
        <v>42738</v>
      </c>
      <c r="D223" s="36">
        <f>J222</f>
        <v>2017</v>
      </c>
      <c r="E223" s="36">
        <f>K222</f>
        <v>3</v>
      </c>
      <c r="F223" s="37">
        <f>L222</f>
        <v>0.54097222222222197</v>
      </c>
      <c r="G223" s="38">
        <f>IF((L223-F223)&gt;0,K223-E223,IF((L223-F223)=0,0,K223-E223 -$F$401))</f>
        <v>0</v>
      </c>
      <c r="H223" s="37">
        <f>IF((L223-F223)&gt;0,L223-F223,IF((L223-F223)=0,0,$H$401+L223-F223))</f>
        <v>0.38194444444444509</v>
      </c>
      <c r="I223" s="35">
        <f t="shared" si="18"/>
        <v>42738</v>
      </c>
      <c r="J223" s="36">
        <f>D224</f>
        <v>2017</v>
      </c>
      <c r="K223" s="36">
        <f>E224</f>
        <v>3</v>
      </c>
      <c r="L223" s="37">
        <f>F224</f>
        <v>0.92291666666666705</v>
      </c>
      <c r="M223" s="41"/>
      <c r="N223" s="42"/>
      <c r="O223" s="43">
        <f>IF(VALUE(LEFT($O224,3))&lt;192,50,IF(VALUE(LEFT($O224,3))&gt;597,50,VLOOKUP(VLOOKUP(VALUE(LEFT($O224,3)),'CIRS Table Info'!$B$6:$J$425,2,FALSE),'CIRS Table Info'!$B$428:$C$431,2,FALSE)))</f>
        <v>602</v>
      </c>
      <c r="P223" s="44">
        <f>IF(O223=50,10,1)</f>
        <v>1</v>
      </c>
    </row>
    <row r="224" spans="1:16" x14ac:dyDescent="0.2">
      <c r="A224" s="21">
        <v>107</v>
      </c>
      <c r="B224" s="45" t="s">
        <v>530</v>
      </c>
      <c r="C224" s="35">
        <f t="shared" si="17"/>
        <v>42738</v>
      </c>
      <c r="D224" s="39">
        <v>2017</v>
      </c>
      <c r="E224" s="40">
        <v>3</v>
      </c>
      <c r="F224" s="37">
        <v>0.92291666666666705</v>
      </c>
      <c r="G224" s="38">
        <v>0</v>
      </c>
      <c r="H224" s="37">
        <v>0.16666666666666699</v>
      </c>
      <c r="I224" s="35">
        <f t="shared" si="18"/>
        <v>42739</v>
      </c>
      <c r="J224" s="47">
        <v>2017</v>
      </c>
      <c r="K224" s="36">
        <v>4</v>
      </c>
      <c r="L224" s="37">
        <v>8.9583333333333307E-2</v>
      </c>
      <c r="M224" s="43">
        <v>2200</v>
      </c>
      <c r="N224" s="43">
        <v>31.68</v>
      </c>
      <c r="O224" s="471" t="s">
        <v>646</v>
      </c>
      <c r="P224" s="472" t="s">
        <v>639</v>
      </c>
    </row>
    <row r="225" spans="1:16" x14ac:dyDescent="0.2">
      <c r="A225" s="21"/>
      <c r="B225" s="45" t="s">
        <v>147</v>
      </c>
      <c r="C225" s="35">
        <f t="shared" si="17"/>
        <v>42739</v>
      </c>
      <c r="D225" s="36">
        <f>J224</f>
        <v>2017</v>
      </c>
      <c r="E225" s="36">
        <f>K224</f>
        <v>4</v>
      </c>
      <c r="F225" s="37">
        <f>L224</f>
        <v>8.9583333333333307E-2</v>
      </c>
      <c r="G225" s="38">
        <f>IF((L225-F225)&gt;0,K225-E225,IF((L225-F225)=0,0,K225-E225 -$F$401))</f>
        <v>0</v>
      </c>
      <c r="H225" s="37">
        <f>IF((L225-F225)&gt;0,L225-F225,IF((L225-F225)=0,0,$H$401+L225-F225))</f>
        <v>0</v>
      </c>
      <c r="I225" s="35">
        <f t="shared" si="18"/>
        <v>42739</v>
      </c>
      <c r="J225" s="36">
        <f>D226</f>
        <v>2017</v>
      </c>
      <c r="K225" s="36">
        <f>E226</f>
        <v>4</v>
      </c>
      <c r="L225" s="37">
        <f>F226</f>
        <v>8.9583333333333307E-2</v>
      </c>
      <c r="M225" s="41"/>
      <c r="N225" s="42"/>
      <c r="O225" s="43">
        <f>IF(VALUE(LEFT($O226,3))&lt;192,50,IF(VALUE(LEFT($O226,3))&gt;597,50,VLOOKUP(VLOOKUP(VALUE(LEFT($O226,3)),'CIRS Table Info'!$B$6:$J$425,2,FALSE),'CIRS Table Info'!$B$428:$C$431,2,FALSE)))</f>
        <v>600</v>
      </c>
      <c r="P225" s="44">
        <f>IF(O225=50,10,1)</f>
        <v>1</v>
      </c>
    </row>
    <row r="226" spans="1:16" x14ac:dyDescent="0.2">
      <c r="A226" s="21">
        <v>108</v>
      </c>
      <c r="B226" s="45" t="s">
        <v>533</v>
      </c>
      <c r="C226" s="35">
        <f t="shared" si="17"/>
        <v>42739</v>
      </c>
      <c r="D226" s="39">
        <v>2017</v>
      </c>
      <c r="E226" s="40">
        <v>4</v>
      </c>
      <c r="F226" s="37">
        <v>8.9583333333333307E-2</v>
      </c>
      <c r="G226" s="38">
        <v>0</v>
      </c>
      <c r="H226" s="37">
        <v>0.41041666666666698</v>
      </c>
      <c r="I226" s="35">
        <f t="shared" si="18"/>
        <v>42739</v>
      </c>
      <c r="J226" s="47">
        <v>2017</v>
      </c>
      <c r="K226" s="36">
        <v>4</v>
      </c>
      <c r="L226" s="37">
        <v>0.5</v>
      </c>
      <c r="M226" s="43">
        <v>2200</v>
      </c>
      <c r="N226" s="43">
        <v>78.012</v>
      </c>
      <c r="O226" s="496">
        <v>203200203200203</v>
      </c>
      <c r="P226" s="44">
        <f>IF(O226=50,10,1)</f>
        <v>1</v>
      </c>
    </row>
    <row r="227" spans="1:16" x14ac:dyDescent="0.2">
      <c r="A227" s="21"/>
      <c r="B227" s="45" t="s">
        <v>148</v>
      </c>
      <c r="C227" s="35">
        <f t="shared" si="17"/>
        <v>42739</v>
      </c>
      <c r="D227" s="36">
        <f>J226</f>
        <v>2017</v>
      </c>
      <c r="E227" s="36">
        <f>K226</f>
        <v>4</v>
      </c>
      <c r="F227" s="37">
        <f>L226</f>
        <v>0.5</v>
      </c>
      <c r="G227" s="38">
        <f>IF((L227-F227)&gt;0,K227-E227,IF((L227-F227)=0,0,K227-E227 -$F$401))</f>
        <v>0</v>
      </c>
      <c r="H227" s="37">
        <f>IF((L227-F227)&gt;0,L227-F227,IF((L227-F227)=0,0,$H$401+L227-F227))</f>
        <v>0</v>
      </c>
      <c r="I227" s="35">
        <f t="shared" si="18"/>
        <v>42739</v>
      </c>
      <c r="J227" s="36">
        <f>D228</f>
        <v>2017</v>
      </c>
      <c r="K227" s="36">
        <f>E228</f>
        <v>4</v>
      </c>
      <c r="L227" s="37">
        <f>F228</f>
        <v>0.5</v>
      </c>
      <c r="M227" s="41"/>
      <c r="N227" s="42"/>
      <c r="O227" s="43">
        <f>IF(VALUE(LEFT($O228,3))&lt;192,50,IF(VALUE(LEFT($O228,3))&gt;597,50,VLOOKUP(VLOOKUP(VALUE(LEFT($O228,3)),'CIRS Table Info'!$B$6:$J$425,2,FALSE),'CIRS Table Info'!$B$428:$C$431,2,FALSE)))</f>
        <v>600</v>
      </c>
      <c r="P227" s="44">
        <f>IF(O227=50,10,1)</f>
        <v>1</v>
      </c>
    </row>
    <row r="228" spans="1:16" x14ac:dyDescent="0.2">
      <c r="A228" s="21">
        <v>109</v>
      </c>
      <c r="B228" s="45" t="s">
        <v>535</v>
      </c>
      <c r="C228" s="35">
        <f t="shared" si="17"/>
        <v>42739</v>
      </c>
      <c r="D228" s="39">
        <v>2017</v>
      </c>
      <c r="E228" s="40">
        <v>4</v>
      </c>
      <c r="F228" s="37">
        <v>0.5</v>
      </c>
      <c r="G228" s="38">
        <v>0</v>
      </c>
      <c r="H228" s="37">
        <v>0.32569444444444401</v>
      </c>
      <c r="I228" s="35">
        <f t="shared" si="18"/>
        <v>42739</v>
      </c>
      <c r="J228" s="47">
        <v>2017</v>
      </c>
      <c r="K228" s="36">
        <v>4</v>
      </c>
      <c r="L228" s="37">
        <v>0.82569444444444395</v>
      </c>
      <c r="M228" s="43">
        <v>2200</v>
      </c>
      <c r="N228" s="43">
        <v>61.908000000000001</v>
      </c>
      <c r="O228" s="43">
        <v>500</v>
      </c>
      <c r="P228" s="44">
        <v>2</v>
      </c>
    </row>
    <row r="229" spans="1:16" x14ac:dyDescent="0.2">
      <c r="A229" s="21"/>
      <c r="B229" s="45" t="s">
        <v>149</v>
      </c>
      <c r="C229" s="35">
        <f t="shared" si="17"/>
        <v>42739</v>
      </c>
      <c r="D229" s="36">
        <f>J228</f>
        <v>2017</v>
      </c>
      <c r="E229" s="36">
        <f>K228</f>
        <v>4</v>
      </c>
      <c r="F229" s="37">
        <f>L228</f>
        <v>0.82569444444444395</v>
      </c>
      <c r="G229" s="38">
        <f>IF((L229-F229)&gt;0,K229-E229,IF((L229-F229)=0,0,K229-E229 -$F$401))</f>
        <v>0</v>
      </c>
      <c r="H229" s="37">
        <f>IF((L229-F229)&gt;0,L229-F229,IF((L229-F229)=0,0,$H$401+L229-F229))</f>
        <v>6.9444444444445086E-2</v>
      </c>
      <c r="I229" s="35">
        <f t="shared" si="18"/>
        <v>42739</v>
      </c>
      <c r="J229" s="36">
        <f>D230</f>
        <v>2017</v>
      </c>
      <c r="K229" s="36">
        <f>E230</f>
        <v>4</v>
      </c>
      <c r="L229" s="37">
        <f>F230</f>
        <v>0.89513888888888904</v>
      </c>
      <c r="M229" s="41"/>
      <c r="N229" s="42"/>
      <c r="O229" s="43">
        <f>IF(VALUE(LEFT($O230,3))&lt;192,50,IF(VALUE(LEFT($O230,3))&gt;597,50,VLOOKUP(VLOOKUP(VALUE(LEFT($O230,3)),'CIRS Table Info'!$B$6:$J$425,2,FALSE),'CIRS Table Info'!$B$428:$C$431,2,FALSE)))</f>
        <v>50</v>
      </c>
      <c r="P229" s="44">
        <f t="shared" ref="P229:P237" si="20">IF(O229=50,10,1)</f>
        <v>10</v>
      </c>
    </row>
    <row r="230" spans="1:16" x14ac:dyDescent="0.2">
      <c r="A230" s="21">
        <v>110</v>
      </c>
      <c r="B230" s="45" t="s">
        <v>536</v>
      </c>
      <c r="C230" s="35">
        <f t="shared" si="17"/>
        <v>42739</v>
      </c>
      <c r="D230" s="39">
        <v>2017</v>
      </c>
      <c r="E230" s="40">
        <v>4</v>
      </c>
      <c r="F230" s="37">
        <v>0.89513888888888904</v>
      </c>
      <c r="G230" s="38">
        <v>0</v>
      </c>
      <c r="H230" s="37">
        <v>0.33333333333333298</v>
      </c>
      <c r="I230" s="35">
        <f t="shared" si="18"/>
        <v>42740</v>
      </c>
      <c r="J230" s="47">
        <v>2017</v>
      </c>
      <c r="K230" s="36">
        <v>5</v>
      </c>
      <c r="L230" s="37">
        <v>0.22847222222222199</v>
      </c>
      <c r="M230" s="43">
        <v>3000</v>
      </c>
      <c r="N230" s="43">
        <v>86.4</v>
      </c>
      <c r="O230" s="43">
        <f>IF(MID(B230,6,7)="NO_DATA",50,IF(N230=0,50,IF(A230="", " ",859)))</f>
        <v>859</v>
      </c>
      <c r="P230" s="44">
        <f t="shared" si="20"/>
        <v>1</v>
      </c>
    </row>
    <row r="231" spans="1:16" x14ac:dyDescent="0.2">
      <c r="A231" s="21"/>
      <c r="B231" s="45" t="s">
        <v>150</v>
      </c>
      <c r="C231" s="35">
        <f t="shared" si="17"/>
        <v>42740</v>
      </c>
      <c r="D231" s="36">
        <f>J230</f>
        <v>2017</v>
      </c>
      <c r="E231" s="36">
        <f>K230</f>
        <v>5</v>
      </c>
      <c r="F231" s="37">
        <f>L230</f>
        <v>0.22847222222222199</v>
      </c>
      <c r="G231" s="38">
        <f>IF((L231-F231)&gt;0,K231-E231,IF((L231-F231)=0,0,K231-E231 -$F$401))</f>
        <v>0</v>
      </c>
      <c r="H231" s="37">
        <f>IF((L231-F231)&gt;0,L231-F231,IF((L231-F231)=0,0,$H$401+L231-F231))</f>
        <v>6.2500000000000028E-2</v>
      </c>
      <c r="I231" s="35">
        <f t="shared" si="18"/>
        <v>42740</v>
      </c>
      <c r="J231" s="36">
        <f>D232</f>
        <v>2017</v>
      </c>
      <c r="K231" s="36">
        <f>E232</f>
        <v>5</v>
      </c>
      <c r="L231" s="37">
        <f>F232</f>
        <v>0.29097222222222202</v>
      </c>
      <c r="M231" s="41"/>
      <c r="N231" s="42"/>
      <c r="O231" s="43">
        <f>IF(VALUE(LEFT($O232,3))&lt;192,50,IF(VALUE(LEFT($O232,3))&gt;597,50,VLOOKUP(VLOOKUP(VALUE(LEFT($O232,3)),'CIRS Table Info'!$B$6:$J$425,2,FALSE),'CIRS Table Info'!$B$428:$C$431,2,FALSE)))</f>
        <v>600</v>
      </c>
      <c r="P231" s="44">
        <f t="shared" si="20"/>
        <v>1</v>
      </c>
    </row>
    <row r="232" spans="1:16" x14ac:dyDescent="0.2">
      <c r="A232" s="21">
        <v>111</v>
      </c>
      <c r="B232" s="45" t="s">
        <v>537</v>
      </c>
      <c r="C232" s="35">
        <f t="shared" si="17"/>
        <v>42740</v>
      </c>
      <c r="D232" s="39">
        <v>2017</v>
      </c>
      <c r="E232" s="40">
        <v>5</v>
      </c>
      <c r="F232" s="37">
        <v>0.29097222222222202</v>
      </c>
      <c r="G232" s="38">
        <v>0</v>
      </c>
      <c r="H232" s="37">
        <v>0.41111111111111098</v>
      </c>
      <c r="I232" s="35">
        <f t="shared" si="18"/>
        <v>42740</v>
      </c>
      <c r="J232" s="47">
        <v>2017</v>
      </c>
      <c r="K232" s="36">
        <v>5</v>
      </c>
      <c r="L232" s="37">
        <v>0.70208333333333295</v>
      </c>
      <c r="M232" s="43">
        <v>2200</v>
      </c>
      <c r="N232" s="43">
        <v>78.144000000000005</v>
      </c>
      <c r="O232" s="496">
        <v>203200203200203</v>
      </c>
      <c r="P232" s="44">
        <f t="shared" si="20"/>
        <v>1</v>
      </c>
    </row>
    <row r="233" spans="1:16" x14ac:dyDescent="0.2">
      <c r="A233" s="21"/>
      <c r="B233" s="45" t="s">
        <v>151</v>
      </c>
      <c r="C233" s="35">
        <f t="shared" si="17"/>
        <v>42740</v>
      </c>
      <c r="D233" s="36">
        <f>J232</f>
        <v>2017</v>
      </c>
      <c r="E233" s="36">
        <f>K232</f>
        <v>5</v>
      </c>
      <c r="F233" s="37">
        <f>L232</f>
        <v>0.70208333333333295</v>
      </c>
      <c r="G233" s="38">
        <f>IF((L233-F233)&gt;0,K233-E233,IF((L233-F233)=0,0,K233-E233 -$F$401))</f>
        <v>0</v>
      </c>
      <c r="H233" s="37">
        <f>IF((L233-F233)&gt;0,L233-F233,IF((L233-F233)=0,0,$H$401+L233-F233))</f>
        <v>0.10416666666666707</v>
      </c>
      <c r="I233" s="35">
        <f t="shared" si="18"/>
        <v>42740</v>
      </c>
      <c r="J233" s="36">
        <f>D234</f>
        <v>2017</v>
      </c>
      <c r="K233" s="36">
        <f>E234</f>
        <v>5</v>
      </c>
      <c r="L233" s="37">
        <f>F234</f>
        <v>0.80625000000000002</v>
      </c>
      <c r="M233" s="41"/>
      <c r="N233" s="42"/>
      <c r="O233" s="43">
        <f>IF(VALUE(LEFT($O234,3))&lt;192,50,IF(VALUE(LEFT($O234,3))&gt;597,50,VLOOKUP(VLOOKUP(VALUE(LEFT($O234,3)),'CIRS Table Info'!$B$6:$J$425,2,FALSE),'CIRS Table Info'!$B$428:$C$431,2,FALSE)))</f>
        <v>50</v>
      </c>
      <c r="P233" s="44">
        <f t="shared" si="20"/>
        <v>10</v>
      </c>
    </row>
    <row r="234" spans="1:16" x14ac:dyDescent="0.2">
      <c r="A234" s="21">
        <v>112</v>
      </c>
      <c r="B234" s="45" t="s">
        <v>540</v>
      </c>
      <c r="C234" s="35">
        <f t="shared" si="17"/>
        <v>42740</v>
      </c>
      <c r="D234" s="39">
        <v>2017</v>
      </c>
      <c r="E234" s="40">
        <v>5</v>
      </c>
      <c r="F234" s="37">
        <v>0.80625000000000002</v>
      </c>
      <c r="G234" s="38">
        <v>0</v>
      </c>
      <c r="H234" s="37">
        <v>0.33333333333333298</v>
      </c>
      <c r="I234" s="35">
        <f t="shared" si="18"/>
        <v>42741</v>
      </c>
      <c r="J234" s="47">
        <v>2017</v>
      </c>
      <c r="K234" s="36">
        <v>6</v>
      </c>
      <c r="L234" s="37">
        <v>0.139583333333333</v>
      </c>
      <c r="M234" s="43">
        <v>3000</v>
      </c>
      <c r="N234" s="43">
        <v>86.4</v>
      </c>
      <c r="O234" s="43">
        <f>IF(MID(B234,6,7)="NO_DATA",50,IF(N234=0,50,IF(A234="", " ",861)))</f>
        <v>861</v>
      </c>
      <c r="P234" s="44">
        <f t="shared" si="20"/>
        <v>1</v>
      </c>
    </row>
    <row r="235" spans="1:16" x14ac:dyDescent="0.2">
      <c r="A235" s="21"/>
      <c r="B235" s="45" t="s">
        <v>152</v>
      </c>
      <c r="C235" s="35">
        <f t="shared" si="17"/>
        <v>42741</v>
      </c>
      <c r="D235" s="36">
        <f>J234</f>
        <v>2017</v>
      </c>
      <c r="E235" s="36">
        <f>K234</f>
        <v>6</v>
      </c>
      <c r="F235" s="37">
        <f>L234</f>
        <v>0.139583333333333</v>
      </c>
      <c r="G235" s="38">
        <f>IF((L235-F235)&gt;0,K235-E235,IF((L235-F235)=0,0,K235-E235 -$F$401))</f>
        <v>0</v>
      </c>
      <c r="H235" s="37">
        <f>IF((L235-F235)&gt;0,L235-F235,IF((L235-F235)=0,0,$H$401+L235-F235))</f>
        <v>0.63125000000000009</v>
      </c>
      <c r="I235" s="35">
        <f t="shared" si="18"/>
        <v>42741</v>
      </c>
      <c r="J235" s="36">
        <f>D236</f>
        <v>2017</v>
      </c>
      <c r="K235" s="36">
        <f>E236</f>
        <v>6</v>
      </c>
      <c r="L235" s="37">
        <f>F236</f>
        <v>0.77083333333333304</v>
      </c>
      <c r="M235" s="41"/>
      <c r="N235" s="42"/>
      <c r="O235" s="43">
        <f>IF(VALUE(LEFT($O236,3))&lt;192,50,IF(VALUE(LEFT($O236,3))&gt;597,50,VLOOKUP(VLOOKUP(VALUE(LEFT($O236,3)),'CIRS Table Info'!$B$6:$J$425,2,FALSE),'CIRS Table Info'!$B$428:$C$431,2,FALSE)))</f>
        <v>50</v>
      </c>
      <c r="P235" s="44">
        <f t="shared" si="20"/>
        <v>10</v>
      </c>
    </row>
    <row r="236" spans="1:16" x14ac:dyDescent="0.2">
      <c r="A236" s="21">
        <v>113</v>
      </c>
      <c r="B236" s="45" t="s">
        <v>541</v>
      </c>
      <c r="C236" s="35">
        <f t="shared" si="17"/>
        <v>42741</v>
      </c>
      <c r="D236" s="39">
        <v>2017</v>
      </c>
      <c r="E236" s="40">
        <v>6</v>
      </c>
      <c r="F236" s="37">
        <v>0.77083333333333304</v>
      </c>
      <c r="G236" s="38">
        <v>0</v>
      </c>
      <c r="H236" s="37">
        <v>0.33333333333333298</v>
      </c>
      <c r="I236" s="35">
        <f t="shared" si="18"/>
        <v>42742</v>
      </c>
      <c r="J236" s="47">
        <v>2017</v>
      </c>
      <c r="K236" s="36">
        <v>7</v>
      </c>
      <c r="L236" s="37">
        <v>0.104166666666667</v>
      </c>
      <c r="M236" s="43">
        <v>3000</v>
      </c>
      <c r="N236" s="43">
        <v>86.4</v>
      </c>
      <c r="O236" s="43">
        <f>IF(MID(B236,6,7)="NO_DATA",50,IF(N236=0,50,IF(A236="", " ",862)))</f>
        <v>862</v>
      </c>
      <c r="P236" s="44">
        <f t="shared" si="20"/>
        <v>1</v>
      </c>
    </row>
    <row r="237" spans="1:16" x14ac:dyDescent="0.2">
      <c r="A237" s="21"/>
      <c r="B237" s="45" t="s">
        <v>153</v>
      </c>
      <c r="C237" s="35">
        <f t="shared" si="17"/>
        <v>42742</v>
      </c>
      <c r="D237" s="36">
        <f>J236</f>
        <v>2017</v>
      </c>
      <c r="E237" s="36">
        <f>K236</f>
        <v>7</v>
      </c>
      <c r="F237" s="37">
        <f>L236</f>
        <v>0.104166666666667</v>
      </c>
      <c r="G237" s="38">
        <f>IF((L237-F237)&gt;0,K237-E237,IF((L237-F237)=0,0,K237-E237 -$F$401))</f>
        <v>0</v>
      </c>
      <c r="H237" s="37">
        <f>IF((L237-F237)&gt;0,L237-F237,IF((L237-F237)=0,0,$H$401+L237-F237))</f>
        <v>2.7777777777776999E-2</v>
      </c>
      <c r="I237" s="35">
        <f t="shared" si="18"/>
        <v>42742</v>
      </c>
      <c r="J237" s="36">
        <f>D238</f>
        <v>2017</v>
      </c>
      <c r="K237" s="36">
        <f>E238</f>
        <v>7</v>
      </c>
      <c r="L237" s="37">
        <f>F238</f>
        <v>0.131944444444444</v>
      </c>
      <c r="M237" s="41"/>
      <c r="N237" s="42"/>
      <c r="O237" s="43">
        <f>IF(VALUE(LEFT($O238,3))&lt;192,50,IF(VALUE(LEFT($O238,3))&gt;597,50,VLOOKUP(VLOOKUP(VALUE(LEFT($O238,3)),'CIRS Table Info'!$B$6:$J$425,2,FALSE),'CIRS Table Info'!$B$428:$C$431,2,FALSE)))</f>
        <v>600</v>
      </c>
      <c r="P237" s="44">
        <f t="shared" si="20"/>
        <v>1</v>
      </c>
    </row>
    <row r="238" spans="1:16" x14ac:dyDescent="0.2">
      <c r="A238" s="21">
        <v>114</v>
      </c>
      <c r="B238" s="45" t="s">
        <v>542</v>
      </c>
      <c r="C238" s="35">
        <f t="shared" si="17"/>
        <v>42742</v>
      </c>
      <c r="D238" s="39">
        <v>2017</v>
      </c>
      <c r="E238" s="40">
        <v>7</v>
      </c>
      <c r="F238" s="37">
        <v>0.131944444444444</v>
      </c>
      <c r="G238" s="38">
        <v>0</v>
      </c>
      <c r="H238" s="37">
        <v>0.35763888888888901</v>
      </c>
      <c r="I238" s="35">
        <f t="shared" si="18"/>
        <v>42742</v>
      </c>
      <c r="J238" s="47">
        <v>2017</v>
      </c>
      <c r="K238" s="36">
        <v>7</v>
      </c>
      <c r="L238" s="37">
        <v>0.48958333333333298</v>
      </c>
      <c r="M238" s="43">
        <v>2200</v>
      </c>
      <c r="N238" s="43">
        <v>67.98</v>
      </c>
      <c r="O238" s="43">
        <v>550</v>
      </c>
      <c r="P238" s="44">
        <v>2</v>
      </c>
    </row>
    <row r="239" spans="1:16" x14ac:dyDescent="0.2">
      <c r="A239" s="21"/>
      <c r="B239" s="45" t="s">
        <v>154</v>
      </c>
      <c r="C239" s="35">
        <f t="shared" si="17"/>
        <v>42742</v>
      </c>
      <c r="D239" s="36">
        <f>J238</f>
        <v>2017</v>
      </c>
      <c r="E239" s="36">
        <f>K238</f>
        <v>7</v>
      </c>
      <c r="F239" s="37">
        <f>L238</f>
        <v>0.48958333333333298</v>
      </c>
      <c r="G239" s="38">
        <f>IF((L239-F239)&gt;0,K239-E239,IF((L239-F239)=0,0,K239-E239 -$F$401))</f>
        <v>0</v>
      </c>
      <c r="H239" s="37">
        <f>IF((L239-F239)&gt;0,L239-F239,IF((L239-F239)=0,0,$H$401+L239-F239))</f>
        <v>0</v>
      </c>
      <c r="I239" s="35">
        <f t="shared" si="18"/>
        <v>42742</v>
      </c>
      <c r="J239" s="36">
        <f>D240</f>
        <v>2017</v>
      </c>
      <c r="K239" s="36">
        <f>E240</f>
        <v>7</v>
      </c>
      <c r="L239" s="37">
        <f>F240</f>
        <v>0.48958333333333298</v>
      </c>
      <c r="M239" s="41"/>
      <c r="N239" s="42"/>
      <c r="O239" s="43">
        <f>IF(VALUE(LEFT($O240,3))&lt;192,50,IF(VALUE(LEFT($O240,3))&gt;597,50,VLOOKUP(VLOOKUP(VALUE(LEFT($O240,3)),'CIRS Table Info'!$B$6:$J$425,2,FALSE),'CIRS Table Info'!$B$428:$C$431,2,FALSE)))</f>
        <v>602</v>
      </c>
      <c r="P239" s="44">
        <f>IF(O239=50,10,1)</f>
        <v>1</v>
      </c>
    </row>
    <row r="240" spans="1:16" x14ac:dyDescent="0.2">
      <c r="A240" s="21">
        <v>115</v>
      </c>
      <c r="B240" s="45" t="s">
        <v>543</v>
      </c>
      <c r="C240" s="35">
        <f t="shared" si="17"/>
        <v>42742</v>
      </c>
      <c r="D240" s="39">
        <v>2017</v>
      </c>
      <c r="E240" s="40">
        <v>7</v>
      </c>
      <c r="F240" s="37">
        <v>0.48958333333333298</v>
      </c>
      <c r="G240" s="38">
        <v>0</v>
      </c>
      <c r="H240" s="37">
        <v>0.25</v>
      </c>
      <c r="I240" s="35">
        <f t="shared" si="18"/>
        <v>42742</v>
      </c>
      <c r="J240" s="47">
        <v>2017</v>
      </c>
      <c r="K240" s="36">
        <v>7</v>
      </c>
      <c r="L240" s="37">
        <v>0.73958333333333304</v>
      </c>
      <c r="M240" s="43">
        <v>2200</v>
      </c>
      <c r="N240" s="43">
        <v>47.52</v>
      </c>
      <c r="O240" s="471" t="s">
        <v>647</v>
      </c>
      <c r="P240" s="472" t="s">
        <v>644</v>
      </c>
    </row>
    <row r="241" spans="1:16" x14ac:dyDescent="0.2">
      <c r="A241" s="21"/>
      <c r="B241" s="45" t="s">
        <v>155</v>
      </c>
      <c r="C241" s="35">
        <f t="shared" si="17"/>
        <v>42742</v>
      </c>
      <c r="D241" s="36">
        <f>J240</f>
        <v>2017</v>
      </c>
      <c r="E241" s="36">
        <f>K240</f>
        <v>7</v>
      </c>
      <c r="F241" s="37">
        <f>L240</f>
        <v>0.73958333333333304</v>
      </c>
      <c r="G241" s="38">
        <f>IF((L241-F241)&gt;0,K241-E241,IF((L241-F241)=0,0,K241-E241 -$F$401))</f>
        <v>0</v>
      </c>
      <c r="H241" s="37">
        <f>IF((L241-F241)&gt;0,L241-F241,IF((L241-F241)=0,0,$H$401+L241-F241))</f>
        <v>0</v>
      </c>
      <c r="I241" s="35">
        <f t="shared" si="18"/>
        <v>42742</v>
      </c>
      <c r="J241" s="36">
        <f>D242</f>
        <v>2017</v>
      </c>
      <c r="K241" s="36">
        <f>E242</f>
        <v>7</v>
      </c>
      <c r="L241" s="37">
        <f>F242</f>
        <v>0.73958333333333304</v>
      </c>
      <c r="M241" s="41"/>
      <c r="N241" s="42"/>
      <c r="O241" s="43">
        <f>IF(VALUE(LEFT($O242,3))&lt;192,50,IF(VALUE(LEFT($O242,3))&gt;597,50,VLOOKUP(VLOOKUP(VALUE(LEFT($O242,3)),'CIRS Table Info'!$B$6:$J$425,2,FALSE),'CIRS Table Info'!$B$428:$C$431,2,FALSE)))</f>
        <v>600</v>
      </c>
      <c r="P241" s="44">
        <f t="shared" ref="P241:P259" si="21">IF(O241=50,10,1)</f>
        <v>1</v>
      </c>
    </row>
    <row r="242" spans="1:16" x14ac:dyDescent="0.2">
      <c r="A242" s="21">
        <v>116</v>
      </c>
      <c r="B242" s="45" t="s">
        <v>546</v>
      </c>
      <c r="C242" s="35">
        <f t="shared" si="17"/>
        <v>42742</v>
      </c>
      <c r="D242" s="39">
        <v>2017</v>
      </c>
      <c r="E242" s="40">
        <v>7</v>
      </c>
      <c r="F242" s="37">
        <v>0.73958333333333304</v>
      </c>
      <c r="G242" s="38">
        <v>0</v>
      </c>
      <c r="H242" s="37">
        <v>0.65625</v>
      </c>
      <c r="I242" s="35">
        <f t="shared" si="18"/>
        <v>42743</v>
      </c>
      <c r="J242" s="47">
        <v>2017</v>
      </c>
      <c r="K242" s="36">
        <v>8</v>
      </c>
      <c r="L242" s="37">
        <v>0.39583333333333298</v>
      </c>
      <c r="M242" s="43">
        <v>400</v>
      </c>
      <c r="N242" s="43">
        <v>22.68</v>
      </c>
      <c r="O242" s="43">
        <v>192</v>
      </c>
      <c r="P242" s="44">
        <f t="shared" si="21"/>
        <v>1</v>
      </c>
    </row>
    <row r="243" spans="1:16" x14ac:dyDescent="0.2">
      <c r="A243" s="21"/>
      <c r="B243" s="45" t="s">
        <v>156</v>
      </c>
      <c r="C243" s="35">
        <f t="shared" si="17"/>
        <v>42743</v>
      </c>
      <c r="D243" s="36">
        <f>J242</f>
        <v>2017</v>
      </c>
      <c r="E243" s="36">
        <f>K242</f>
        <v>8</v>
      </c>
      <c r="F243" s="37">
        <f>L242</f>
        <v>0.39583333333333298</v>
      </c>
      <c r="G243" s="38">
        <f>IF((L243-F243)&gt;0,K243-E243,IF((L243-F243)=0,0,K243-E243 -$F$401))</f>
        <v>0</v>
      </c>
      <c r="H243" s="37">
        <f>IF((L243-F243)&gt;0,L243-F243,IF((L243-F243)=0,0,$H$401+L243-F243))</f>
        <v>0</v>
      </c>
      <c r="I243" s="35">
        <f t="shared" si="18"/>
        <v>42743</v>
      </c>
      <c r="J243" s="36">
        <f>D244</f>
        <v>2017</v>
      </c>
      <c r="K243" s="36">
        <f>E244</f>
        <v>8</v>
      </c>
      <c r="L243" s="37">
        <f>F244</f>
        <v>0.39583333333333298</v>
      </c>
      <c r="M243" s="41"/>
      <c r="N243" s="42"/>
      <c r="O243" s="43">
        <f>IF(VALUE(LEFT($O244,3))&lt;192,50,IF(VALUE(LEFT($O244,3))&gt;597,50,VLOOKUP(VLOOKUP(VALUE(LEFT($O244,3)),'CIRS Table Info'!$B$6:$J$425,2,FALSE),'CIRS Table Info'!$B$428:$C$431,2,FALSE)))</f>
        <v>600</v>
      </c>
      <c r="P243" s="44">
        <f t="shared" si="21"/>
        <v>1</v>
      </c>
    </row>
    <row r="244" spans="1:16" x14ac:dyDescent="0.2">
      <c r="A244" s="21">
        <v>117</v>
      </c>
      <c r="B244" s="45" t="s">
        <v>547</v>
      </c>
      <c r="C244" s="35">
        <f t="shared" si="17"/>
        <v>42743</v>
      </c>
      <c r="D244" s="39">
        <v>2017</v>
      </c>
      <c r="E244" s="40">
        <v>8</v>
      </c>
      <c r="F244" s="37">
        <v>0.39583333333333298</v>
      </c>
      <c r="G244" s="38">
        <v>0</v>
      </c>
      <c r="H244" s="37">
        <v>3.4722222222222203E-2</v>
      </c>
      <c r="I244" s="35">
        <f t="shared" si="18"/>
        <v>42743</v>
      </c>
      <c r="J244" s="47">
        <v>2017</v>
      </c>
      <c r="K244" s="36">
        <v>8</v>
      </c>
      <c r="L244" s="37">
        <v>0.43055555555555602</v>
      </c>
      <c r="M244" s="43">
        <v>2200</v>
      </c>
      <c r="N244" s="43">
        <v>6.6</v>
      </c>
      <c r="O244" s="43">
        <v>350</v>
      </c>
      <c r="P244" s="44">
        <f t="shared" si="21"/>
        <v>1</v>
      </c>
    </row>
    <row r="245" spans="1:16" x14ac:dyDescent="0.2">
      <c r="A245" s="21"/>
      <c r="B245" s="45" t="s">
        <v>157</v>
      </c>
      <c r="C245" s="35">
        <f t="shared" si="17"/>
        <v>42743</v>
      </c>
      <c r="D245" s="36">
        <f>J244</f>
        <v>2017</v>
      </c>
      <c r="E245" s="36">
        <f>K244</f>
        <v>8</v>
      </c>
      <c r="F245" s="37">
        <f>L244</f>
        <v>0.43055555555555602</v>
      </c>
      <c r="G245" s="38">
        <f>IF((L245-F245)&gt;0,K245-E245,IF((L245-F245)=0,0,K245-E245 -$F$401))</f>
        <v>0</v>
      </c>
      <c r="H245" s="37">
        <f>IF((L245-F245)&gt;0,L245-F245,IF((L245-F245)=0,0,$H$401+L245-F245))</f>
        <v>0.12083333333333302</v>
      </c>
      <c r="I245" s="35">
        <f t="shared" si="18"/>
        <v>42743</v>
      </c>
      <c r="J245" s="36">
        <f>D246</f>
        <v>2017</v>
      </c>
      <c r="K245" s="36">
        <f>E246</f>
        <v>8</v>
      </c>
      <c r="L245" s="37">
        <f>F246</f>
        <v>0.55138888888888904</v>
      </c>
      <c r="M245" s="41"/>
      <c r="N245" s="42"/>
      <c r="O245" s="43">
        <f>IF(VALUE(LEFT($O246,3))&lt;192,50,IF(VALUE(LEFT($O246,3))&gt;597,50,VLOOKUP(VLOOKUP(VALUE(LEFT($O246,3)),'CIRS Table Info'!$B$6:$J$425,2,FALSE),'CIRS Table Info'!$B$428:$C$431,2,FALSE)))</f>
        <v>50</v>
      </c>
      <c r="P245" s="44">
        <f t="shared" si="21"/>
        <v>10</v>
      </c>
    </row>
    <row r="246" spans="1:16" x14ac:dyDescent="0.2">
      <c r="A246" s="21">
        <v>118</v>
      </c>
      <c r="B246" s="45" t="s">
        <v>548</v>
      </c>
      <c r="C246" s="35">
        <f t="shared" si="17"/>
        <v>42743</v>
      </c>
      <c r="D246" s="39">
        <v>2017</v>
      </c>
      <c r="E246" s="40">
        <v>8</v>
      </c>
      <c r="F246" s="37">
        <v>0.55138888888888904</v>
      </c>
      <c r="G246" s="38">
        <v>0</v>
      </c>
      <c r="H246" s="37">
        <v>0.33333333333333298</v>
      </c>
      <c r="I246" s="35">
        <f t="shared" si="18"/>
        <v>42743</v>
      </c>
      <c r="J246" s="47">
        <v>2017</v>
      </c>
      <c r="K246" s="36">
        <v>8</v>
      </c>
      <c r="L246" s="37">
        <v>0.88472222222222197</v>
      </c>
      <c r="M246" s="43">
        <v>3000</v>
      </c>
      <c r="N246" s="43">
        <v>86.4</v>
      </c>
      <c r="O246" s="43">
        <f>IF(MID(B246,6,7)="NO_DATA",50,IF(N246=0,50,IF(A246="", " ",867)))</f>
        <v>867</v>
      </c>
      <c r="P246" s="44">
        <f t="shared" si="21"/>
        <v>1</v>
      </c>
    </row>
    <row r="247" spans="1:16" x14ac:dyDescent="0.2">
      <c r="A247" s="21"/>
      <c r="B247" s="45" t="s">
        <v>158</v>
      </c>
      <c r="C247" s="35">
        <f t="shared" si="17"/>
        <v>42743</v>
      </c>
      <c r="D247" s="36">
        <f>J246</f>
        <v>2017</v>
      </c>
      <c r="E247" s="36">
        <f>K246</f>
        <v>8</v>
      </c>
      <c r="F247" s="37">
        <f>L246</f>
        <v>0.88472222222222197</v>
      </c>
      <c r="G247" s="38">
        <f>IF((L247-F247)&gt;0,K247-E247,IF((L247-F247)=0,0,K247-E247 -$F$401))</f>
        <v>0</v>
      </c>
      <c r="H247" s="37">
        <f>IF((L247-F247)&gt;0,L247-F247,IF((L247-F247)=0,0,$H$401+L247-F247))</f>
        <v>0.10347222222222208</v>
      </c>
      <c r="I247" s="35">
        <f t="shared" si="18"/>
        <v>42743</v>
      </c>
      <c r="J247" s="36">
        <f>D248</f>
        <v>2017</v>
      </c>
      <c r="K247" s="36">
        <f>E248</f>
        <v>8</v>
      </c>
      <c r="L247" s="37">
        <f>F248</f>
        <v>0.98819444444444404</v>
      </c>
      <c r="M247" s="41"/>
      <c r="N247" s="42"/>
      <c r="O247" s="43">
        <f>IF(VALUE(LEFT($O248,3))&lt;192,50,IF(VALUE(LEFT($O248,3))&gt;597,50,VLOOKUP(VLOOKUP(VALUE(LEFT($O248,3)),'CIRS Table Info'!$B$6:$J$425,2,FALSE),'CIRS Table Info'!$B$428:$C$431,2,FALSE)))</f>
        <v>600</v>
      </c>
      <c r="P247" s="44">
        <f t="shared" si="21"/>
        <v>1</v>
      </c>
    </row>
    <row r="248" spans="1:16" x14ac:dyDescent="0.2">
      <c r="A248" s="21">
        <v>119</v>
      </c>
      <c r="B248" s="45" t="s">
        <v>549</v>
      </c>
      <c r="C248" s="35">
        <f t="shared" si="17"/>
        <v>42743</v>
      </c>
      <c r="D248" s="39">
        <v>2017</v>
      </c>
      <c r="E248" s="40">
        <v>8</v>
      </c>
      <c r="F248" s="37">
        <v>0.98819444444444404</v>
      </c>
      <c r="G248" s="38">
        <v>0</v>
      </c>
      <c r="H248" s="37">
        <v>3.3333333333333298E-2</v>
      </c>
      <c r="I248" s="35">
        <f t="shared" si="18"/>
        <v>42744</v>
      </c>
      <c r="J248" s="47">
        <v>2017</v>
      </c>
      <c r="K248" s="36">
        <v>9</v>
      </c>
      <c r="L248" s="37">
        <v>2.1527777777777798E-2</v>
      </c>
      <c r="M248" s="43">
        <v>400</v>
      </c>
      <c r="N248" s="43">
        <v>1.1519999999999999</v>
      </c>
      <c r="O248" s="43">
        <v>192</v>
      </c>
      <c r="P248" s="44">
        <f t="shared" si="21"/>
        <v>1</v>
      </c>
    </row>
    <row r="249" spans="1:16" x14ac:dyDescent="0.2">
      <c r="A249" s="21"/>
      <c r="B249" s="45" t="s">
        <v>159</v>
      </c>
      <c r="C249" s="35">
        <f t="shared" si="17"/>
        <v>42744</v>
      </c>
      <c r="D249" s="36">
        <f>J248</f>
        <v>2017</v>
      </c>
      <c r="E249" s="36">
        <f>K248</f>
        <v>9</v>
      </c>
      <c r="F249" s="37">
        <f>L248</f>
        <v>2.1527777777777798E-2</v>
      </c>
      <c r="G249" s="38">
        <f>IF((L249-F249)&gt;0,K249-E249,IF((L249-F249)=0,0,K249-E249 -$F$401))</f>
        <v>0</v>
      </c>
      <c r="H249" s="37">
        <f>IF((L249-F249)&gt;0,L249-F249,IF((L249-F249)=0,0,$H$401+L249-F249))</f>
        <v>4.1666666666666602E-2</v>
      </c>
      <c r="I249" s="35">
        <f t="shared" si="18"/>
        <v>42744</v>
      </c>
      <c r="J249" s="36">
        <f>D250</f>
        <v>2017</v>
      </c>
      <c r="K249" s="36">
        <f>E250</f>
        <v>9</v>
      </c>
      <c r="L249" s="37">
        <f>F250</f>
        <v>6.31944444444444E-2</v>
      </c>
      <c r="M249" s="41"/>
      <c r="N249" s="42"/>
      <c r="O249" s="43">
        <f>IF(VALUE(LEFT($O250,3))&lt;192,50,IF(VALUE(LEFT($O250,3))&gt;597,50,VLOOKUP(VLOOKUP(VALUE(LEFT($O250,3)),'CIRS Table Info'!$B$6:$J$425,2,FALSE),'CIRS Table Info'!$B$428:$C$431,2,FALSE)))</f>
        <v>600</v>
      </c>
      <c r="P249" s="44">
        <f t="shared" si="21"/>
        <v>1</v>
      </c>
    </row>
    <row r="250" spans="1:16" x14ac:dyDescent="0.2">
      <c r="A250" s="21">
        <v>120</v>
      </c>
      <c r="B250" s="45" t="s">
        <v>550</v>
      </c>
      <c r="C250" s="35">
        <f t="shared" si="17"/>
        <v>42744</v>
      </c>
      <c r="D250" s="39">
        <v>2017</v>
      </c>
      <c r="E250" s="40">
        <v>9</v>
      </c>
      <c r="F250" s="37">
        <v>6.31944444444444E-2</v>
      </c>
      <c r="G250" s="38">
        <v>0</v>
      </c>
      <c r="H250" s="37">
        <v>8.2638888888888901E-2</v>
      </c>
      <c r="I250" s="35">
        <f t="shared" si="18"/>
        <v>42744</v>
      </c>
      <c r="J250" s="47">
        <v>2017</v>
      </c>
      <c r="K250" s="36">
        <v>9</v>
      </c>
      <c r="L250" s="37">
        <v>0.14583333333333301</v>
      </c>
      <c r="M250" s="43">
        <v>2200</v>
      </c>
      <c r="N250" s="43">
        <v>15.708</v>
      </c>
      <c r="O250" s="43">
        <v>400</v>
      </c>
      <c r="P250" s="44">
        <f t="shared" si="21"/>
        <v>1</v>
      </c>
    </row>
    <row r="251" spans="1:16" x14ac:dyDescent="0.2">
      <c r="A251" s="21"/>
      <c r="B251" s="45" t="s">
        <v>160</v>
      </c>
      <c r="C251" s="35">
        <f t="shared" si="17"/>
        <v>42744</v>
      </c>
      <c r="D251" s="36">
        <f>J250</f>
        <v>2017</v>
      </c>
      <c r="E251" s="36">
        <f>K250</f>
        <v>9</v>
      </c>
      <c r="F251" s="37">
        <f>L250</f>
        <v>0.14583333333333301</v>
      </c>
      <c r="G251" s="38">
        <f>IF((L251-F251)&gt;0,K251-E251,IF((L251-F251)=0,0,K251-E251 -$F$401))</f>
        <v>0</v>
      </c>
      <c r="H251" s="37">
        <f>IF((L251-F251)&gt;0,L251-F251,IF((L251-F251)=0,0,$H$401+L251-F251))</f>
        <v>0</v>
      </c>
      <c r="I251" s="35">
        <f t="shared" si="18"/>
        <v>42744</v>
      </c>
      <c r="J251" s="36">
        <f>D252</f>
        <v>2017</v>
      </c>
      <c r="K251" s="36">
        <f>E252</f>
        <v>9</v>
      </c>
      <c r="L251" s="37">
        <f>F252</f>
        <v>0.14583333333333301</v>
      </c>
      <c r="M251" s="41"/>
      <c r="N251" s="42"/>
      <c r="O251" s="43">
        <f>IF(VALUE(LEFT($O252,3))&lt;192,50,IF(VALUE(LEFT($O252,3))&gt;597,50,VLOOKUP(VLOOKUP(VALUE(LEFT($O252,3)),'CIRS Table Info'!$B$6:$J$425,2,FALSE),'CIRS Table Info'!$B$428:$C$431,2,FALSE)))</f>
        <v>600</v>
      </c>
      <c r="P251" s="44">
        <f t="shared" si="21"/>
        <v>1</v>
      </c>
    </row>
    <row r="252" spans="1:16" x14ac:dyDescent="0.2">
      <c r="A252" s="21">
        <v>121</v>
      </c>
      <c r="B252" s="45" t="s">
        <v>551</v>
      </c>
      <c r="C252" s="35">
        <f t="shared" si="17"/>
        <v>42744</v>
      </c>
      <c r="D252" s="39">
        <v>2017</v>
      </c>
      <c r="E252" s="40">
        <v>9</v>
      </c>
      <c r="F252" s="37">
        <v>0.14583333333333301</v>
      </c>
      <c r="G252" s="38">
        <v>0</v>
      </c>
      <c r="H252" s="37">
        <v>0.104166666666667</v>
      </c>
      <c r="I252" s="35">
        <f t="shared" si="18"/>
        <v>42744</v>
      </c>
      <c r="J252" s="47">
        <v>2017</v>
      </c>
      <c r="K252" s="36">
        <v>9</v>
      </c>
      <c r="L252" s="37">
        <v>0.25</v>
      </c>
      <c r="M252" s="43">
        <v>2200</v>
      </c>
      <c r="N252" s="43">
        <v>19.8</v>
      </c>
      <c r="O252" s="43">
        <v>450</v>
      </c>
      <c r="P252" s="44">
        <f t="shared" si="21"/>
        <v>1</v>
      </c>
    </row>
    <row r="253" spans="1:16" x14ac:dyDescent="0.2">
      <c r="A253" s="21"/>
      <c r="B253" s="45" t="s">
        <v>161</v>
      </c>
      <c r="C253" s="35">
        <f t="shared" ref="C253" si="22">DATE(D253,1,E253)</f>
        <v>42744</v>
      </c>
      <c r="D253" s="36">
        <f>J252</f>
        <v>2017</v>
      </c>
      <c r="E253" s="36">
        <f>K252</f>
        <v>9</v>
      </c>
      <c r="F253" s="37">
        <f>L252</f>
        <v>0.25</v>
      </c>
      <c r="G253" s="38">
        <f>IF((L253-F253)&gt;0,K253-E253,IF((L253-F253)=0,0,K253-E253 -$F$401))</f>
        <v>0</v>
      </c>
      <c r="H253" s="37">
        <f>IF((L253-F253)&gt;0,L253-F253,IF((L253-F253)=0,0,$H$401+L253-F253))</f>
        <v>0</v>
      </c>
      <c r="I253" s="35">
        <f t="shared" ref="I253" si="23">DATE(J253,1,K253)</f>
        <v>42744</v>
      </c>
      <c r="J253" s="36">
        <f>D254</f>
        <v>2017</v>
      </c>
      <c r="K253" s="36">
        <f>E254</f>
        <v>9</v>
      </c>
      <c r="L253" s="37">
        <f>F254</f>
        <v>0.25</v>
      </c>
      <c r="M253" s="41"/>
      <c r="N253" s="42"/>
      <c r="O253" s="43">
        <f>IF(VALUE(LEFT($O254,3))&lt;192,50,IF(VALUE(LEFT($O254,3))&gt;597,50,VLOOKUP(VLOOKUP(VALUE(LEFT($O254,3)),'CIRS Table Info'!$B$6:$J$425,2,FALSE),'CIRS Table Info'!$B$428:$C$431,2,FALSE)))</f>
        <v>600</v>
      </c>
      <c r="P253" s="44">
        <f t="shared" si="21"/>
        <v>1</v>
      </c>
    </row>
    <row r="254" spans="1:16" x14ac:dyDescent="0.2">
      <c r="A254" s="21">
        <v>122</v>
      </c>
      <c r="B254" s="45" t="s">
        <v>552</v>
      </c>
      <c r="C254" s="35">
        <f t="shared" si="17"/>
        <v>42744</v>
      </c>
      <c r="D254" s="39">
        <v>2017</v>
      </c>
      <c r="E254" s="40">
        <v>9</v>
      </c>
      <c r="F254" s="37">
        <v>0.25</v>
      </c>
      <c r="G254" s="38">
        <v>0</v>
      </c>
      <c r="H254" s="37">
        <v>9.7222222222222196E-2</v>
      </c>
      <c r="I254" s="35">
        <f t="shared" si="18"/>
        <v>42744</v>
      </c>
      <c r="J254" s="47">
        <v>2017</v>
      </c>
      <c r="K254" s="36">
        <v>9</v>
      </c>
      <c r="L254" s="37">
        <v>0.34722222222222199</v>
      </c>
      <c r="M254" s="43">
        <v>2200</v>
      </c>
      <c r="N254" s="43">
        <v>18.48</v>
      </c>
      <c r="O254" s="43">
        <v>450</v>
      </c>
      <c r="P254" s="44">
        <f t="shared" si="21"/>
        <v>1</v>
      </c>
    </row>
    <row r="255" spans="1:16" x14ac:dyDescent="0.2">
      <c r="A255" s="21"/>
      <c r="B255" s="45" t="s">
        <v>689</v>
      </c>
      <c r="C255" s="35">
        <f t="shared" si="17"/>
        <v>42744</v>
      </c>
      <c r="D255" s="36">
        <f>J254</f>
        <v>2017</v>
      </c>
      <c r="E255" s="36">
        <f>K254</f>
        <v>9</v>
      </c>
      <c r="F255" s="37">
        <f>L254</f>
        <v>0.34722222222222199</v>
      </c>
      <c r="G255" s="38">
        <f>IF((L255-F255)&gt;0,K255-E255,IF((L255-F255)=0,0,K255-E255 -$F$401))</f>
        <v>0</v>
      </c>
      <c r="H255" s="37">
        <f>IF((L255-F255)&gt;0,L255-F255,IF((L255-F255)=0,0,$H$401+L255-F255))</f>
        <v>6.5972222222222432E-2</v>
      </c>
      <c r="I255" s="35">
        <f t="shared" si="18"/>
        <v>42744</v>
      </c>
      <c r="J255" s="36">
        <f>D256</f>
        <v>2017</v>
      </c>
      <c r="K255" s="36">
        <f>E256</f>
        <v>9</v>
      </c>
      <c r="L255" s="37">
        <f>F256</f>
        <v>0.41319444444444442</v>
      </c>
      <c r="M255" s="41"/>
      <c r="N255" s="42"/>
      <c r="O255" s="43">
        <v>606</v>
      </c>
      <c r="P255" s="44">
        <f t="shared" si="21"/>
        <v>1</v>
      </c>
    </row>
    <row r="256" spans="1:16" x14ac:dyDescent="0.2">
      <c r="A256" s="21">
        <v>193</v>
      </c>
      <c r="B256" s="45" t="s">
        <v>691</v>
      </c>
      <c r="C256" s="35">
        <f t="shared" ref="C256:C257" si="24">DATE(D256,1,E256)</f>
        <v>42744</v>
      </c>
      <c r="D256" s="39">
        <v>2017</v>
      </c>
      <c r="E256" s="36">
        <v>9</v>
      </c>
      <c r="F256" s="37">
        <v>0.41319444444444442</v>
      </c>
      <c r="G256" s="38">
        <f>IF((L256-F256)&gt;0,K256-E256,IF((L256-F256)=0,0,K256-E256 -$F$401))</f>
        <v>0</v>
      </c>
      <c r="H256" s="37">
        <f>IF((L256-F256)&gt;0,L256-F256,IF((L256-F256)=0,0,$H$401+L256-F256))</f>
        <v>4.5138888888888895E-2</v>
      </c>
      <c r="I256" s="35">
        <f t="shared" ref="I256:I257" si="25">DATE(J256,1,K256)</f>
        <v>42744</v>
      </c>
      <c r="J256" s="47">
        <v>2017</v>
      </c>
      <c r="K256" s="36">
        <v>9</v>
      </c>
      <c r="L256" s="37">
        <v>0.45833333333333331</v>
      </c>
      <c r="M256" s="43">
        <v>3692.3</v>
      </c>
      <c r="N256" s="42">
        <v>14.4</v>
      </c>
      <c r="O256" s="43">
        <v>872</v>
      </c>
      <c r="P256" s="44">
        <v>1</v>
      </c>
    </row>
    <row r="257" spans="1:16" x14ac:dyDescent="0.2">
      <c r="A257" s="21"/>
      <c r="B257" s="45" t="s">
        <v>690</v>
      </c>
      <c r="C257" s="35">
        <f t="shared" si="24"/>
        <v>42744</v>
      </c>
      <c r="D257" s="36">
        <f>J256</f>
        <v>2017</v>
      </c>
      <c r="E257" s="36">
        <f>K256</f>
        <v>9</v>
      </c>
      <c r="F257" s="37">
        <f>L256</f>
        <v>0.45833333333333331</v>
      </c>
      <c r="G257" s="38">
        <v>0</v>
      </c>
      <c r="H257" s="37">
        <f>IF((L257-F257)&gt;0,L257-F257,IF((L257-F257)=0,0,$H$401+L257-F257))</f>
        <v>0.99999999999999978</v>
      </c>
      <c r="I257" s="35">
        <f t="shared" si="25"/>
        <v>42744</v>
      </c>
      <c r="J257" s="36">
        <f>D258</f>
        <v>2017</v>
      </c>
      <c r="K257" s="36">
        <f>E258</f>
        <v>9</v>
      </c>
      <c r="L257" s="37">
        <f>F258</f>
        <v>0.45833333333333298</v>
      </c>
      <c r="M257" s="41"/>
      <c r="N257" s="42"/>
      <c r="O257" s="43">
        <v>602</v>
      </c>
      <c r="P257" s="44">
        <v>1</v>
      </c>
    </row>
    <row r="258" spans="1:16" x14ac:dyDescent="0.2">
      <c r="A258" s="21">
        <v>123</v>
      </c>
      <c r="B258" s="45" t="s">
        <v>553</v>
      </c>
      <c r="C258" s="35">
        <f t="shared" si="17"/>
        <v>42744</v>
      </c>
      <c r="D258" s="39">
        <v>2017</v>
      </c>
      <c r="E258" s="40">
        <v>9</v>
      </c>
      <c r="F258" s="37">
        <v>0.45833333333333298</v>
      </c>
      <c r="G258" s="38">
        <v>0</v>
      </c>
      <c r="H258" s="37">
        <v>0.16666666666666699</v>
      </c>
      <c r="I258" s="35">
        <f t="shared" si="18"/>
        <v>42744</v>
      </c>
      <c r="J258" s="47">
        <v>2017</v>
      </c>
      <c r="K258" s="36">
        <v>9</v>
      </c>
      <c r="L258" s="37">
        <v>0.625</v>
      </c>
      <c r="M258" s="43">
        <v>2000</v>
      </c>
      <c r="N258" s="42">
        <v>28.8</v>
      </c>
      <c r="O258" s="43">
        <v>522</v>
      </c>
      <c r="P258" s="44">
        <f t="shared" si="21"/>
        <v>1</v>
      </c>
    </row>
    <row r="259" spans="1:16" x14ac:dyDescent="0.2">
      <c r="A259" s="21"/>
      <c r="B259" s="45" t="s">
        <v>162</v>
      </c>
      <c r="C259" s="35">
        <f t="shared" si="17"/>
        <v>42744</v>
      </c>
      <c r="D259" s="36">
        <f>J258</f>
        <v>2017</v>
      </c>
      <c r="E259" s="36">
        <f>K258</f>
        <v>9</v>
      </c>
      <c r="F259" s="37">
        <f>L258</f>
        <v>0.625</v>
      </c>
      <c r="G259" s="38">
        <f>IF((L259-F259)&gt;0,K259-E259,IF((L259-F259)=0,0,K259-E259 -$F$401))</f>
        <v>0</v>
      </c>
      <c r="H259" s="37">
        <f>IF((L259-F259)&gt;0,L259-F259,IF((L259-F259)=0,0,$H$401+L259-F259))</f>
        <v>0</v>
      </c>
      <c r="I259" s="35">
        <f t="shared" si="18"/>
        <v>42744</v>
      </c>
      <c r="J259" s="36">
        <f>D260</f>
        <v>2017</v>
      </c>
      <c r="K259" s="36">
        <f>E260</f>
        <v>9</v>
      </c>
      <c r="L259" s="37">
        <f>F260</f>
        <v>0.625</v>
      </c>
      <c r="M259" s="41"/>
      <c r="N259" s="42"/>
      <c r="O259" s="43">
        <f>IF(VALUE(LEFT($O260,3))&lt;192,50,IF(VALUE(LEFT($O260,3))&gt;597,50,VLOOKUP(VLOOKUP(VALUE(LEFT($O260,3)),'CIRS Table Info'!$B$6:$J$425,2,FALSE),'CIRS Table Info'!$B$428:$C$431,2,FALSE)))</f>
        <v>600</v>
      </c>
      <c r="P259" s="44">
        <f t="shared" si="21"/>
        <v>1</v>
      </c>
    </row>
    <row r="260" spans="1:16" x14ac:dyDescent="0.2">
      <c r="A260" s="21">
        <v>124</v>
      </c>
      <c r="B260" s="45" t="s">
        <v>554</v>
      </c>
      <c r="C260" s="35">
        <f t="shared" si="17"/>
        <v>42744</v>
      </c>
      <c r="D260" s="39">
        <v>2017</v>
      </c>
      <c r="E260" s="40">
        <v>9</v>
      </c>
      <c r="F260" s="37">
        <v>0.625</v>
      </c>
      <c r="G260" s="38">
        <v>0</v>
      </c>
      <c r="H260" s="37">
        <v>0.25</v>
      </c>
      <c r="I260" s="35">
        <f t="shared" si="18"/>
        <v>42744</v>
      </c>
      <c r="J260" s="47">
        <v>2017</v>
      </c>
      <c r="K260" s="36">
        <v>9</v>
      </c>
      <c r="L260" s="37">
        <v>0.875</v>
      </c>
      <c r="M260" s="43">
        <v>2200</v>
      </c>
      <c r="N260" s="42">
        <v>47.52</v>
      </c>
      <c r="O260" s="471" t="s">
        <v>648</v>
      </c>
      <c r="P260" s="472" t="s">
        <v>644</v>
      </c>
    </row>
    <row r="261" spans="1:16" x14ac:dyDescent="0.2">
      <c r="A261" s="21"/>
      <c r="B261" s="45" t="s">
        <v>163</v>
      </c>
      <c r="C261" s="35">
        <f t="shared" si="17"/>
        <v>42744</v>
      </c>
      <c r="D261" s="36">
        <f>J260</f>
        <v>2017</v>
      </c>
      <c r="E261" s="36">
        <f>K260</f>
        <v>9</v>
      </c>
      <c r="F261" s="37">
        <f>L260</f>
        <v>0.875</v>
      </c>
      <c r="G261" s="38">
        <f>IF((L261-F261)&gt;0,K261-E261,IF((L261-F261)=0,0,K261-E261 -$F$401))</f>
        <v>0</v>
      </c>
      <c r="H261" s="37">
        <f>IF((L261-F261)&gt;0,L261-F261,IF((L261-F261)=0,0,$H$401+L261-F261))</f>
        <v>0</v>
      </c>
      <c r="I261" s="35">
        <f t="shared" si="18"/>
        <v>42744</v>
      </c>
      <c r="J261" s="36">
        <f>D262</f>
        <v>2017</v>
      </c>
      <c r="K261" s="36">
        <f>E262</f>
        <v>9</v>
      </c>
      <c r="L261" s="37">
        <f>F262</f>
        <v>0.875</v>
      </c>
      <c r="M261" s="41"/>
      <c r="N261" s="42"/>
      <c r="O261" s="43">
        <f>IF(VALUE(LEFT($O262,3))&lt;192,50,IF(VALUE(LEFT($O262,3))&gt;597,50,VLOOKUP(VLOOKUP(VALUE(LEFT($O262,3)),'CIRS Table Info'!$B$6:$J$425,2,FALSE),'CIRS Table Info'!$B$428:$C$431,2,FALSE)))</f>
        <v>600</v>
      </c>
      <c r="P261" s="44">
        <f t="shared" ref="P261:P277" si="26">IF(O261=50,10,1)</f>
        <v>1</v>
      </c>
    </row>
    <row r="262" spans="1:16" x14ac:dyDescent="0.2">
      <c r="A262" s="21">
        <v>125</v>
      </c>
      <c r="B262" s="45" t="s">
        <v>558</v>
      </c>
      <c r="C262" s="35">
        <f t="shared" si="17"/>
        <v>42744</v>
      </c>
      <c r="D262" s="39">
        <v>2017</v>
      </c>
      <c r="E262" s="40">
        <v>9</v>
      </c>
      <c r="F262" s="37">
        <v>0.875</v>
      </c>
      <c r="G262" s="38">
        <v>0</v>
      </c>
      <c r="H262" s="37">
        <v>0.15</v>
      </c>
      <c r="I262" s="35">
        <f t="shared" si="18"/>
        <v>42745</v>
      </c>
      <c r="J262" s="47">
        <v>2017</v>
      </c>
      <c r="K262" s="36">
        <v>10</v>
      </c>
      <c r="L262" s="37">
        <v>2.5000000000000001E-2</v>
      </c>
      <c r="M262" s="43">
        <v>400</v>
      </c>
      <c r="N262" s="42">
        <v>5.1840000000000002</v>
      </c>
      <c r="O262" s="43">
        <v>192</v>
      </c>
      <c r="P262" s="44">
        <f t="shared" si="26"/>
        <v>1</v>
      </c>
    </row>
    <row r="263" spans="1:16" x14ac:dyDescent="0.2">
      <c r="A263" s="21"/>
      <c r="B263" s="45" t="s">
        <v>164</v>
      </c>
      <c r="C263" s="35">
        <f t="shared" si="17"/>
        <v>42745</v>
      </c>
      <c r="D263" s="36">
        <f>J262</f>
        <v>2017</v>
      </c>
      <c r="E263" s="36">
        <f>K262</f>
        <v>10</v>
      </c>
      <c r="F263" s="37">
        <f>L262</f>
        <v>2.5000000000000001E-2</v>
      </c>
      <c r="G263" s="38">
        <f>IF((L263-F263)&gt;0,K263-E263,IF((L263-F263)=0,0,K263-E263 -$F$401))</f>
        <v>0</v>
      </c>
      <c r="H263" s="37">
        <f>IF((L263-F263)&gt;0,L263-F263,IF((L263-F263)=0,0,$H$401+L263-F263))</f>
        <v>0</v>
      </c>
      <c r="I263" s="35">
        <f t="shared" si="18"/>
        <v>42745</v>
      </c>
      <c r="J263" s="36">
        <f>D264</f>
        <v>2017</v>
      </c>
      <c r="K263" s="36">
        <f>E264</f>
        <v>10</v>
      </c>
      <c r="L263" s="37">
        <f>F264</f>
        <v>2.5000000000000001E-2</v>
      </c>
      <c r="M263" s="41"/>
      <c r="N263" s="42"/>
      <c r="O263" s="43">
        <f>IF(VALUE(LEFT($O264,3))&lt;192,50,IF(VALUE(LEFT($O264,3))&gt;597,50,VLOOKUP(VLOOKUP(VALUE(LEFT($O264,3)),'CIRS Table Info'!$B$6:$J$425,2,FALSE),'CIRS Table Info'!$B$428:$C$431,2,FALSE)))</f>
        <v>600</v>
      </c>
      <c r="P263" s="44">
        <f t="shared" si="26"/>
        <v>1</v>
      </c>
    </row>
    <row r="264" spans="1:16" x14ac:dyDescent="0.2">
      <c r="A264" s="21">
        <v>126</v>
      </c>
      <c r="B264" s="45" t="s">
        <v>559</v>
      </c>
      <c r="C264" s="35">
        <f t="shared" si="17"/>
        <v>42745</v>
      </c>
      <c r="D264" s="39">
        <v>2017</v>
      </c>
      <c r="E264" s="40">
        <v>10</v>
      </c>
      <c r="F264" s="37">
        <v>2.5000000000000001E-2</v>
      </c>
      <c r="G264" s="38">
        <v>0</v>
      </c>
      <c r="H264" s="37">
        <v>2.7777777777777801E-2</v>
      </c>
      <c r="I264" s="35">
        <f t="shared" si="18"/>
        <v>42745</v>
      </c>
      <c r="J264" s="47">
        <v>2017</v>
      </c>
      <c r="K264" s="36">
        <v>10</v>
      </c>
      <c r="L264" s="37">
        <v>5.2777777777777798E-2</v>
      </c>
      <c r="M264" s="43">
        <v>400</v>
      </c>
      <c r="N264" s="42">
        <v>0.96</v>
      </c>
      <c r="O264" s="43">
        <v>192</v>
      </c>
      <c r="P264" s="44">
        <f t="shared" si="26"/>
        <v>1</v>
      </c>
    </row>
    <row r="265" spans="1:16" x14ac:dyDescent="0.2">
      <c r="A265" s="21"/>
      <c r="B265" s="45" t="s">
        <v>165</v>
      </c>
      <c r="C265" s="35">
        <f t="shared" si="17"/>
        <v>42745</v>
      </c>
      <c r="D265" s="36">
        <f>J264</f>
        <v>2017</v>
      </c>
      <c r="E265" s="36">
        <f>K264</f>
        <v>10</v>
      </c>
      <c r="F265" s="37">
        <f>L264</f>
        <v>5.2777777777777798E-2</v>
      </c>
      <c r="G265" s="38">
        <f>IF((L265-F265)&gt;0,K265-E265,IF((L265-F265)=0,0,K265-E265 -$F$401))</f>
        <v>0</v>
      </c>
      <c r="H265" s="37">
        <f>IF((L265-F265)&gt;0,L265-F265,IF((L265-F265)=0,0,$H$401+L265-F265))</f>
        <v>0.49861111111111123</v>
      </c>
      <c r="I265" s="35">
        <f t="shared" si="18"/>
        <v>42745</v>
      </c>
      <c r="J265" s="36">
        <f>D266</f>
        <v>2017</v>
      </c>
      <c r="K265" s="36">
        <f>E266</f>
        <v>10</v>
      </c>
      <c r="L265" s="37">
        <f>F266</f>
        <v>0.55138888888888904</v>
      </c>
      <c r="M265" s="41"/>
      <c r="N265" s="42"/>
      <c r="O265" s="43">
        <f>IF(VALUE(LEFT($O266,3))&lt;192,50,IF(VALUE(LEFT($O266,3))&gt;597,50,VLOOKUP(VLOOKUP(VALUE(LEFT($O266,3)),'CIRS Table Info'!$B$6:$J$425,2,FALSE),'CIRS Table Info'!$B$428:$C$431,2,FALSE)))</f>
        <v>50</v>
      </c>
      <c r="P265" s="44">
        <f t="shared" si="26"/>
        <v>10</v>
      </c>
    </row>
    <row r="266" spans="1:16" x14ac:dyDescent="0.2">
      <c r="A266" s="21">
        <v>127</v>
      </c>
      <c r="B266" s="45" t="s">
        <v>560</v>
      </c>
      <c r="C266" s="35">
        <f t="shared" ref="C266:C329" si="27">DATE(D266,1,E266)</f>
        <v>42745</v>
      </c>
      <c r="D266" s="39">
        <v>2017</v>
      </c>
      <c r="E266" s="40">
        <v>10</v>
      </c>
      <c r="F266" s="37">
        <v>0.55138888888888904</v>
      </c>
      <c r="G266" s="38">
        <v>0</v>
      </c>
      <c r="H266" s="37">
        <v>0.26250000000000001</v>
      </c>
      <c r="I266" s="35">
        <f t="shared" si="18"/>
        <v>42745</v>
      </c>
      <c r="J266" s="47">
        <v>2017</v>
      </c>
      <c r="K266" s="36">
        <v>10</v>
      </c>
      <c r="L266" s="37">
        <v>0.81388888888888899</v>
      </c>
      <c r="M266" s="43">
        <v>3000</v>
      </c>
      <c r="N266" s="42">
        <v>68.040000000000006</v>
      </c>
      <c r="O266" s="43">
        <f>IF(MID(B266,6,7)="NO_DATA",50,IF(N266=0,50,IF(A266="", " ",876)))</f>
        <v>876</v>
      </c>
      <c r="P266" s="44">
        <f t="shared" si="26"/>
        <v>1</v>
      </c>
    </row>
    <row r="267" spans="1:16" x14ac:dyDescent="0.2">
      <c r="A267" s="21"/>
      <c r="B267" s="45" t="s">
        <v>166</v>
      </c>
      <c r="C267" s="35">
        <f t="shared" si="27"/>
        <v>42745</v>
      </c>
      <c r="D267" s="36">
        <f>J266</f>
        <v>2017</v>
      </c>
      <c r="E267" s="36">
        <f>K266</f>
        <v>10</v>
      </c>
      <c r="F267" s="37">
        <f>L266</f>
        <v>0.81388888888888899</v>
      </c>
      <c r="G267" s="38">
        <f>IF((L267-F267)&gt;0,K267-E267,IF((L267-F267)=0,0,K267-E267 -$F$401))</f>
        <v>0</v>
      </c>
      <c r="H267" s="37">
        <f>IF((L267-F267)&gt;0,L267-F267,IF((L267-F267)=0,0,$H$401+L267-F267))</f>
        <v>1.9444444444444042E-2</v>
      </c>
      <c r="I267" s="35">
        <f t="shared" ref="I267:I330" si="28">DATE(J267,1,K267)</f>
        <v>42745</v>
      </c>
      <c r="J267" s="36">
        <f>D268</f>
        <v>2017</v>
      </c>
      <c r="K267" s="36">
        <f>E268</f>
        <v>10</v>
      </c>
      <c r="L267" s="37">
        <f>F268</f>
        <v>0.83333333333333304</v>
      </c>
      <c r="M267" s="41"/>
      <c r="N267" s="42"/>
      <c r="O267" s="43">
        <f>IF(VALUE(LEFT($O268,3))&lt;192,50,IF(VALUE(LEFT($O268,3))&gt;597,50,VLOOKUP(VLOOKUP(VALUE(LEFT($O268,3)),'CIRS Table Info'!$B$6:$J$425,2,FALSE),'CIRS Table Info'!$B$428:$C$431,2,FALSE)))</f>
        <v>600</v>
      </c>
      <c r="P267" s="44">
        <f t="shared" si="26"/>
        <v>1</v>
      </c>
    </row>
    <row r="268" spans="1:16" x14ac:dyDescent="0.2">
      <c r="A268" s="21">
        <v>128</v>
      </c>
      <c r="B268" s="45" t="s">
        <v>561</v>
      </c>
      <c r="C268" s="35">
        <f t="shared" si="27"/>
        <v>42745</v>
      </c>
      <c r="D268" s="39">
        <v>2017</v>
      </c>
      <c r="E268" s="40">
        <v>10</v>
      </c>
      <c r="F268" s="37">
        <v>0.83333333333333304</v>
      </c>
      <c r="G268" s="38">
        <v>0</v>
      </c>
      <c r="H268" s="37">
        <v>0.19166666666666701</v>
      </c>
      <c r="I268" s="35">
        <f t="shared" si="28"/>
        <v>42746</v>
      </c>
      <c r="J268" s="47">
        <v>2017</v>
      </c>
      <c r="K268" s="36">
        <v>11</v>
      </c>
      <c r="L268" s="37">
        <v>2.5000000000000001E-2</v>
      </c>
      <c r="M268" s="43">
        <v>400</v>
      </c>
      <c r="N268" s="43">
        <v>6.6239999999999997</v>
      </c>
      <c r="O268" s="43">
        <v>192</v>
      </c>
      <c r="P268" s="44">
        <f t="shared" si="26"/>
        <v>1</v>
      </c>
    </row>
    <row r="269" spans="1:16" x14ac:dyDescent="0.2">
      <c r="A269" s="21"/>
      <c r="B269" s="45" t="s">
        <v>167</v>
      </c>
      <c r="C269" s="35">
        <f t="shared" si="27"/>
        <v>42746</v>
      </c>
      <c r="D269" s="36">
        <f>J268</f>
        <v>2017</v>
      </c>
      <c r="E269" s="36">
        <f>K268</f>
        <v>11</v>
      </c>
      <c r="F269" s="37">
        <f>L268</f>
        <v>2.5000000000000001E-2</v>
      </c>
      <c r="G269" s="38">
        <f>IF((L269-F269)&gt;0,K269-E269,IF((L269-F269)=0,0,K269-E269 -$F$401))</f>
        <v>0</v>
      </c>
      <c r="H269" s="37">
        <f>IF((L269-F269)&gt;0,L269-F269,IF((L269-F269)=0,0,$H$401+L269-F269))</f>
        <v>0</v>
      </c>
      <c r="I269" s="35">
        <f t="shared" si="28"/>
        <v>42746</v>
      </c>
      <c r="J269" s="36">
        <f>D270</f>
        <v>2017</v>
      </c>
      <c r="K269" s="36">
        <f>E270</f>
        <v>11</v>
      </c>
      <c r="L269" s="37">
        <f>F270</f>
        <v>2.5000000000000001E-2</v>
      </c>
      <c r="M269" s="41"/>
      <c r="N269" s="42"/>
      <c r="O269" s="43">
        <f>IF(VALUE(LEFT($O270,3))&lt;192,50,IF(VALUE(LEFT($O270,3))&gt;597,50,VLOOKUP(VLOOKUP(VALUE(LEFT($O270,3)),'CIRS Table Info'!$B$6:$J$425,2,FALSE),'CIRS Table Info'!$B$428:$C$431,2,FALSE)))</f>
        <v>606</v>
      </c>
      <c r="P269" s="44">
        <f t="shared" si="26"/>
        <v>1</v>
      </c>
    </row>
    <row r="270" spans="1:16" x14ac:dyDescent="0.2">
      <c r="A270" s="21">
        <v>129</v>
      </c>
      <c r="B270" s="45" t="s">
        <v>562</v>
      </c>
      <c r="C270" s="35">
        <f t="shared" si="27"/>
        <v>42746</v>
      </c>
      <c r="D270" s="39">
        <v>2017</v>
      </c>
      <c r="E270" s="40">
        <v>11</v>
      </c>
      <c r="F270" s="37">
        <v>2.5000000000000001E-2</v>
      </c>
      <c r="G270" s="38">
        <v>0</v>
      </c>
      <c r="H270" s="37">
        <v>6.25E-2</v>
      </c>
      <c r="I270" s="35">
        <f t="shared" si="28"/>
        <v>42746</v>
      </c>
      <c r="J270" s="47">
        <v>2017</v>
      </c>
      <c r="K270" s="36">
        <v>11</v>
      </c>
      <c r="L270" s="37">
        <v>8.7499999999999994E-2</v>
      </c>
      <c r="M270" s="43">
        <v>4000</v>
      </c>
      <c r="N270" s="43">
        <v>21.6</v>
      </c>
      <c r="O270" s="43">
        <v>341</v>
      </c>
      <c r="P270" s="44">
        <f t="shared" si="26"/>
        <v>1</v>
      </c>
    </row>
    <row r="271" spans="1:16" x14ac:dyDescent="0.2">
      <c r="A271" s="21"/>
      <c r="B271" s="45" t="s">
        <v>168</v>
      </c>
      <c r="C271" s="35">
        <f t="shared" si="27"/>
        <v>42746</v>
      </c>
      <c r="D271" s="36">
        <f>J270</f>
        <v>2017</v>
      </c>
      <c r="E271" s="36">
        <f>K270</f>
        <v>11</v>
      </c>
      <c r="F271" s="37">
        <f>L270</f>
        <v>8.7499999999999994E-2</v>
      </c>
      <c r="G271" s="38">
        <f>IF((L271-F271)&gt;0,K271-E271,IF((L271-F271)=0,0,K271-E271 -$F$401))</f>
        <v>0</v>
      </c>
      <c r="H271" s="37">
        <f>IF((L271-F271)&gt;0,L271-F271,IF((L271-F271)=0,0,$H$401+L271-F271))</f>
        <v>0</v>
      </c>
      <c r="I271" s="35">
        <f t="shared" si="28"/>
        <v>42746</v>
      </c>
      <c r="J271" s="36">
        <f>D272</f>
        <v>2017</v>
      </c>
      <c r="K271" s="36">
        <f>E272</f>
        <v>11</v>
      </c>
      <c r="L271" s="37">
        <f>F272</f>
        <v>8.7499999999999994E-2</v>
      </c>
      <c r="M271" s="41"/>
      <c r="N271" s="42"/>
      <c r="O271" s="43">
        <f>IF(VALUE(LEFT($O272,3))&lt;192,50,IF(VALUE(LEFT($O272,3))&gt;597,50,VLOOKUP(VLOOKUP(VALUE(LEFT($O272,3)),'CIRS Table Info'!$B$6:$J$425,2,FALSE),'CIRS Table Info'!$B$428:$C$431,2,FALSE)))</f>
        <v>600</v>
      </c>
      <c r="P271" s="44">
        <f t="shared" si="26"/>
        <v>1</v>
      </c>
    </row>
    <row r="272" spans="1:16" x14ac:dyDescent="0.2">
      <c r="A272" s="21">
        <v>130</v>
      </c>
      <c r="B272" s="45" t="s">
        <v>563</v>
      </c>
      <c r="C272" s="35">
        <f t="shared" si="27"/>
        <v>42746</v>
      </c>
      <c r="D272" s="39">
        <v>2017</v>
      </c>
      <c r="E272" s="40">
        <v>11</v>
      </c>
      <c r="F272" s="37">
        <v>8.7499999999999994E-2</v>
      </c>
      <c r="G272" s="38">
        <v>0</v>
      </c>
      <c r="H272" s="37">
        <v>0.33194444444444399</v>
      </c>
      <c r="I272" s="35">
        <f t="shared" si="28"/>
        <v>42746</v>
      </c>
      <c r="J272" s="47">
        <v>2017</v>
      </c>
      <c r="K272" s="36">
        <v>11</v>
      </c>
      <c r="L272" s="37">
        <v>0.41944444444444401</v>
      </c>
      <c r="M272" s="41">
        <v>400</v>
      </c>
      <c r="N272" s="42">
        <v>11.472</v>
      </c>
      <c r="O272" s="43">
        <v>192</v>
      </c>
      <c r="P272" s="44">
        <f t="shared" si="26"/>
        <v>1</v>
      </c>
    </row>
    <row r="273" spans="1:16" x14ac:dyDescent="0.2">
      <c r="A273" s="21"/>
      <c r="B273" s="45" t="s">
        <v>169</v>
      </c>
      <c r="C273" s="35">
        <f t="shared" si="27"/>
        <v>42746</v>
      </c>
      <c r="D273" s="36">
        <f>J272</f>
        <v>2017</v>
      </c>
      <c r="E273" s="36">
        <f>K272</f>
        <v>11</v>
      </c>
      <c r="F273" s="37">
        <f>L272</f>
        <v>0.41944444444444401</v>
      </c>
      <c r="G273" s="38">
        <f>IF((L273-F273)&gt;0,K273-E273,IF((L273-F273)=0,0,K273-E273 -$F$401))</f>
        <v>0</v>
      </c>
      <c r="H273" s="37">
        <f>IF((L273-F273)&gt;0,L273-F273,IF((L273-F273)=0,0,$H$401+L273-F273))</f>
        <v>0.13194444444444503</v>
      </c>
      <c r="I273" s="35">
        <f t="shared" si="28"/>
        <v>42746</v>
      </c>
      <c r="J273" s="36">
        <f>D274</f>
        <v>2017</v>
      </c>
      <c r="K273" s="36">
        <f>E274</f>
        <v>11</v>
      </c>
      <c r="L273" s="37">
        <f>F274</f>
        <v>0.55138888888888904</v>
      </c>
      <c r="M273" s="41"/>
      <c r="N273" s="42"/>
      <c r="O273" s="43">
        <f>IF(VALUE(LEFT($O274,3))&lt;192,50,IF(VALUE(LEFT($O274,3))&gt;597,50,VLOOKUP(VLOOKUP(VALUE(LEFT($O274,3)),'CIRS Table Info'!$B$6:$J$425,2,FALSE),'CIRS Table Info'!$B$428:$C$431,2,FALSE)))</f>
        <v>50</v>
      </c>
      <c r="P273" s="44">
        <f t="shared" si="26"/>
        <v>10</v>
      </c>
    </row>
    <row r="274" spans="1:16" x14ac:dyDescent="0.2">
      <c r="A274" s="21">
        <v>131</v>
      </c>
      <c r="B274" s="45" t="s">
        <v>564</v>
      </c>
      <c r="C274" s="35">
        <f t="shared" si="27"/>
        <v>42746</v>
      </c>
      <c r="D274" s="39">
        <v>2017</v>
      </c>
      <c r="E274" s="40">
        <v>11</v>
      </c>
      <c r="F274" s="37">
        <v>0.55138888888888904</v>
      </c>
      <c r="G274" s="38">
        <v>0</v>
      </c>
      <c r="H274" s="37">
        <v>0.29930555555555599</v>
      </c>
      <c r="I274" s="35">
        <f t="shared" si="28"/>
        <v>42746</v>
      </c>
      <c r="J274" s="47">
        <v>2017</v>
      </c>
      <c r="K274" s="36">
        <v>11</v>
      </c>
      <c r="L274" s="37">
        <v>0.85069444444444497</v>
      </c>
      <c r="M274" s="41">
        <v>1636</v>
      </c>
      <c r="N274" s="42">
        <v>42.307000000000002</v>
      </c>
      <c r="O274" s="43">
        <f>IF(MID(B274,6,7)="NO_DATA",50,IF(N274=0,50,IF(A274="", " ",880)))</f>
        <v>880</v>
      </c>
      <c r="P274" s="44">
        <f t="shared" si="26"/>
        <v>1</v>
      </c>
    </row>
    <row r="275" spans="1:16" x14ac:dyDescent="0.2">
      <c r="A275" s="21"/>
      <c r="B275" s="45" t="s">
        <v>170</v>
      </c>
      <c r="C275" s="35">
        <f t="shared" si="27"/>
        <v>42746</v>
      </c>
      <c r="D275" s="36">
        <f>J274</f>
        <v>2017</v>
      </c>
      <c r="E275" s="36">
        <f>K274</f>
        <v>11</v>
      </c>
      <c r="F275" s="37">
        <f>L274</f>
        <v>0.85069444444444497</v>
      </c>
      <c r="G275" s="38">
        <f>IF((L275-F275)&gt;0,K275-E275,IF((L275-F275)=0,0,K275-E275 -$F$401))</f>
        <v>0</v>
      </c>
      <c r="H275" s="37">
        <f>IF((L275-F275)&gt;0,L275-F275,IF((L275-F275)=0,0,$H$401+L275-F275))</f>
        <v>2.7777777777777013E-2</v>
      </c>
      <c r="I275" s="35">
        <f t="shared" si="28"/>
        <v>42746</v>
      </c>
      <c r="J275" s="36">
        <f>D276</f>
        <v>2017</v>
      </c>
      <c r="K275" s="36">
        <f>E276</f>
        <v>11</v>
      </c>
      <c r="L275" s="37">
        <f>F276</f>
        <v>0.87847222222222199</v>
      </c>
      <c r="M275" s="41"/>
      <c r="N275" s="42"/>
      <c r="O275" s="43">
        <f>IF(VALUE(LEFT($O276,3))&lt;192,50,IF(VALUE(LEFT($O276,3))&gt;597,50,VLOOKUP(VLOOKUP(VALUE(LEFT($O276,3)),'CIRS Table Info'!$B$6:$J$425,2,FALSE),'CIRS Table Info'!$B$428:$C$431,2,FALSE)))</f>
        <v>606</v>
      </c>
      <c r="P275" s="44">
        <f t="shared" si="26"/>
        <v>1</v>
      </c>
    </row>
    <row r="276" spans="1:16" x14ac:dyDescent="0.2">
      <c r="A276" s="21">
        <v>132</v>
      </c>
      <c r="B276" s="45" t="s">
        <v>565</v>
      </c>
      <c r="C276" s="35">
        <f t="shared" si="27"/>
        <v>42746</v>
      </c>
      <c r="D276" s="39">
        <v>2017</v>
      </c>
      <c r="E276" s="40">
        <v>11</v>
      </c>
      <c r="F276" s="37">
        <v>0.87847222222222199</v>
      </c>
      <c r="G276" s="38">
        <v>0</v>
      </c>
      <c r="H276" s="37">
        <v>6.25E-2</v>
      </c>
      <c r="I276" s="35">
        <f t="shared" si="28"/>
        <v>42746</v>
      </c>
      <c r="J276" s="47">
        <v>2017</v>
      </c>
      <c r="K276" s="36">
        <v>11</v>
      </c>
      <c r="L276" s="37">
        <v>0.94097222222222199</v>
      </c>
      <c r="M276" s="41">
        <v>4000</v>
      </c>
      <c r="N276" s="42">
        <v>21.6</v>
      </c>
      <c r="O276" s="43">
        <v>341</v>
      </c>
      <c r="P276" s="44">
        <f t="shared" si="26"/>
        <v>1</v>
      </c>
    </row>
    <row r="277" spans="1:16" x14ac:dyDescent="0.2">
      <c r="A277" s="21"/>
      <c r="B277" s="45" t="s">
        <v>171</v>
      </c>
      <c r="C277" s="35">
        <f t="shared" si="27"/>
        <v>42746</v>
      </c>
      <c r="D277" s="36">
        <f>J276</f>
        <v>2017</v>
      </c>
      <c r="E277" s="36">
        <f>K276</f>
        <v>11</v>
      </c>
      <c r="F277" s="37">
        <f>L276</f>
        <v>0.94097222222222199</v>
      </c>
      <c r="G277" s="38">
        <f>IF((L277-F277)&gt;0,K277-E277,IF((L277-F277)=0,0,K277-E277 -$F$401))</f>
        <v>0</v>
      </c>
      <c r="H277" s="37">
        <f>IF((L277-F277)&gt;0,L277-F277,IF((L277-F277)=0,0,$H$401+L277-F277))</f>
        <v>0</v>
      </c>
      <c r="I277" s="35">
        <f t="shared" si="28"/>
        <v>42746</v>
      </c>
      <c r="J277" s="36">
        <f>D278</f>
        <v>2017</v>
      </c>
      <c r="K277" s="36">
        <f>E278</f>
        <v>11</v>
      </c>
      <c r="L277" s="37">
        <f>F278</f>
        <v>0.94097222222222199</v>
      </c>
      <c r="M277" s="41"/>
      <c r="N277" s="42"/>
      <c r="O277" s="43">
        <f>IF(VALUE(LEFT($O278,3))&lt;192,50,IF(VALUE(LEFT($O278,3))&gt;597,50,VLOOKUP(VLOOKUP(VALUE(LEFT($O278,3)),'CIRS Table Info'!$B$6:$J$425,2,FALSE),'CIRS Table Info'!$B$428:$C$431,2,FALSE)))</f>
        <v>602</v>
      </c>
      <c r="P277" s="44">
        <f t="shared" si="26"/>
        <v>1</v>
      </c>
    </row>
    <row r="278" spans="1:16" x14ac:dyDescent="0.2">
      <c r="A278" s="21">
        <v>133</v>
      </c>
      <c r="B278" s="45" t="s">
        <v>566</v>
      </c>
      <c r="C278" s="35">
        <f t="shared" si="27"/>
        <v>42746</v>
      </c>
      <c r="D278" s="39">
        <v>2017</v>
      </c>
      <c r="E278" s="40">
        <v>11</v>
      </c>
      <c r="F278" s="37">
        <v>0.94097222222222199</v>
      </c>
      <c r="G278" s="38">
        <v>0</v>
      </c>
      <c r="H278" s="37">
        <v>0.72361111111111098</v>
      </c>
      <c r="I278" s="35">
        <f t="shared" si="28"/>
        <v>42747</v>
      </c>
      <c r="J278" s="47">
        <v>2017</v>
      </c>
      <c r="K278" s="36">
        <v>12</v>
      </c>
      <c r="L278" s="37">
        <v>0.66458333333333297</v>
      </c>
      <c r="M278" s="41">
        <v>2000</v>
      </c>
      <c r="N278" s="42">
        <v>125.04</v>
      </c>
      <c r="O278" s="43">
        <v>572</v>
      </c>
      <c r="P278" s="44">
        <v>3</v>
      </c>
    </row>
    <row r="279" spans="1:16" x14ac:dyDescent="0.2">
      <c r="A279" s="21"/>
      <c r="B279" s="45" t="s">
        <v>172</v>
      </c>
      <c r="C279" s="35">
        <f t="shared" si="27"/>
        <v>42747</v>
      </c>
      <c r="D279" s="36">
        <f>J278</f>
        <v>2017</v>
      </c>
      <c r="E279" s="36">
        <f>K278</f>
        <v>12</v>
      </c>
      <c r="F279" s="37">
        <f>L278</f>
        <v>0.66458333333333297</v>
      </c>
      <c r="G279" s="38">
        <f>IF((L279-F279)&gt;0,K279-E279,IF((L279-F279)=0,0,K279-E279 -$F$401))</f>
        <v>0</v>
      </c>
      <c r="H279" s="37">
        <f>IF((L279-F279)&gt;0,L279-F279,IF((L279-F279)=0,0,$H$401+L279-F279))</f>
        <v>0.13194444444444497</v>
      </c>
      <c r="I279" s="35">
        <f t="shared" si="28"/>
        <v>42747</v>
      </c>
      <c r="J279" s="36">
        <f>D280</f>
        <v>2017</v>
      </c>
      <c r="K279" s="36">
        <f>E280</f>
        <v>12</v>
      </c>
      <c r="L279" s="37">
        <f>F280</f>
        <v>0.79652777777777795</v>
      </c>
      <c r="M279" s="41"/>
      <c r="N279" s="42"/>
      <c r="O279" s="43">
        <f>IF(VALUE(LEFT($O280,3))&lt;192,50,IF(VALUE(LEFT($O280,3))&gt;597,50,VLOOKUP(VLOOKUP(VALUE(LEFT($O280,3)),'CIRS Table Info'!$B$6:$J$425,2,FALSE),'CIRS Table Info'!$B$428:$C$431,2,FALSE)))</f>
        <v>50</v>
      </c>
      <c r="P279" s="44">
        <f>IF(O279=50,10,1)</f>
        <v>10</v>
      </c>
    </row>
    <row r="280" spans="1:16" x14ac:dyDescent="0.2">
      <c r="A280" s="21">
        <v>134</v>
      </c>
      <c r="B280" s="45" t="s">
        <v>567</v>
      </c>
      <c r="C280" s="35">
        <f t="shared" si="27"/>
        <v>42747</v>
      </c>
      <c r="D280" s="39">
        <v>2017</v>
      </c>
      <c r="E280" s="40">
        <v>12</v>
      </c>
      <c r="F280" s="37">
        <v>0.79652777777777795</v>
      </c>
      <c r="G280" s="38">
        <v>0</v>
      </c>
      <c r="H280" s="37">
        <v>0.33333333333333298</v>
      </c>
      <c r="I280" s="35">
        <f t="shared" si="28"/>
        <v>42748</v>
      </c>
      <c r="J280" s="47">
        <v>2017</v>
      </c>
      <c r="K280" s="36">
        <v>13</v>
      </c>
      <c r="L280" s="37">
        <v>0.12986111111111101</v>
      </c>
      <c r="M280" s="41">
        <v>3000</v>
      </c>
      <c r="N280" s="42">
        <v>86.4</v>
      </c>
      <c r="O280" s="43">
        <f>IF(MID(B280,6,7)="NO_DATA",50,IF(N280=0,50,IF(A280="", " ",883)))</f>
        <v>883</v>
      </c>
      <c r="P280" s="44">
        <f>IF(O280=50,10,1)</f>
        <v>1</v>
      </c>
    </row>
    <row r="281" spans="1:16" x14ac:dyDescent="0.2">
      <c r="A281" s="21"/>
      <c r="B281" s="45" t="s">
        <v>173</v>
      </c>
      <c r="C281" s="35">
        <f t="shared" si="27"/>
        <v>42748</v>
      </c>
      <c r="D281" s="36">
        <f>J280</f>
        <v>2017</v>
      </c>
      <c r="E281" s="36">
        <f>K280</f>
        <v>13</v>
      </c>
      <c r="F281" s="37">
        <f>L280</f>
        <v>0.12986111111111101</v>
      </c>
      <c r="G281" s="38">
        <f>IF((L281-F281)&gt;0,K281-E281,IF((L281-F281)=0,0,K281-E281 -$F$401))</f>
        <v>0</v>
      </c>
      <c r="H281" s="37">
        <f>IF((L281-F281)&gt;0,L281-F281,IF((L281-F281)=0,0,$H$401+L281-F281))</f>
        <v>2.7777777777777984E-2</v>
      </c>
      <c r="I281" s="35">
        <f t="shared" si="28"/>
        <v>42748</v>
      </c>
      <c r="J281" s="36">
        <f>D282</f>
        <v>2017</v>
      </c>
      <c r="K281" s="36">
        <f>E282</f>
        <v>13</v>
      </c>
      <c r="L281" s="37">
        <f>F282</f>
        <v>0.15763888888888899</v>
      </c>
      <c r="M281" s="41"/>
      <c r="N281" s="42"/>
      <c r="O281" s="43">
        <f>IF(VALUE(LEFT($O282,3))&lt;192,50,IF(VALUE(LEFT($O282,3))&gt;597,50,VLOOKUP(VLOOKUP(VALUE(LEFT($O282,3)),'CIRS Table Info'!$B$6:$J$425,2,FALSE),'CIRS Table Info'!$B$428:$C$431,2,FALSE)))</f>
        <v>606</v>
      </c>
      <c r="P281" s="44">
        <f>IF(O281=50,10,1)</f>
        <v>1</v>
      </c>
    </row>
    <row r="282" spans="1:16" x14ac:dyDescent="0.2">
      <c r="A282" s="21">
        <v>135</v>
      </c>
      <c r="B282" s="45" t="s">
        <v>568</v>
      </c>
      <c r="C282" s="35">
        <f t="shared" si="27"/>
        <v>42748</v>
      </c>
      <c r="D282" s="39">
        <v>2017</v>
      </c>
      <c r="E282" s="40">
        <v>13</v>
      </c>
      <c r="F282" s="37">
        <v>0.15763888888888899</v>
      </c>
      <c r="G282" s="38">
        <v>0</v>
      </c>
      <c r="H282" s="37">
        <v>6.25E-2</v>
      </c>
      <c r="I282" s="35">
        <f t="shared" si="28"/>
        <v>42748</v>
      </c>
      <c r="J282" s="47">
        <v>2017</v>
      </c>
      <c r="K282" s="36">
        <v>13</v>
      </c>
      <c r="L282" s="37">
        <v>0.22013888888888899</v>
      </c>
      <c r="M282" s="41">
        <v>4000</v>
      </c>
      <c r="N282" s="42">
        <v>21.6</v>
      </c>
      <c r="O282" s="43">
        <v>341</v>
      </c>
      <c r="P282" s="44">
        <f>IF(O282=50,10,1)</f>
        <v>1</v>
      </c>
    </row>
    <row r="283" spans="1:16" x14ac:dyDescent="0.2">
      <c r="A283" s="21"/>
      <c r="B283" s="45" t="s">
        <v>174</v>
      </c>
      <c r="C283" s="35">
        <f t="shared" si="27"/>
        <v>42748</v>
      </c>
      <c r="D283" s="36">
        <f>J282</f>
        <v>2017</v>
      </c>
      <c r="E283" s="36">
        <f>K282</f>
        <v>13</v>
      </c>
      <c r="F283" s="37">
        <f>L282</f>
        <v>0.22013888888888899</v>
      </c>
      <c r="G283" s="38">
        <f>IF((L283-F283)&gt;0,K283-E283,IF((L283-F283)=0,0,K283-E283 -$F$401))</f>
        <v>0</v>
      </c>
      <c r="H283" s="37">
        <f>IF((L283-F283)&gt;0,L283-F283,IF((L283-F283)=0,0,$H$401+L283-F283))</f>
        <v>6.9444444444444031E-2</v>
      </c>
      <c r="I283" s="35">
        <f t="shared" si="28"/>
        <v>42748</v>
      </c>
      <c r="J283" s="36">
        <f>D284</f>
        <v>2017</v>
      </c>
      <c r="K283" s="36">
        <f>E284</f>
        <v>13</v>
      </c>
      <c r="L283" s="37">
        <f>F284</f>
        <v>0.28958333333333303</v>
      </c>
      <c r="M283" s="41"/>
      <c r="N283" s="42"/>
      <c r="O283" s="43">
        <f>IF(VALUE(LEFT($O284,3))&lt;192,50,IF(VALUE(LEFT($O284,3))&gt;597,50,VLOOKUP(VLOOKUP(VALUE(LEFT($O284,3)),'CIRS Table Info'!$B$6:$J$425,2,FALSE),'CIRS Table Info'!$B$428:$C$431,2,FALSE)))</f>
        <v>606</v>
      </c>
      <c r="P283" s="44">
        <f>IF(O283=50,10,1)</f>
        <v>1</v>
      </c>
    </row>
    <row r="284" spans="1:16" x14ac:dyDescent="0.2">
      <c r="A284" s="21">
        <v>136</v>
      </c>
      <c r="B284" s="45" t="s">
        <v>569</v>
      </c>
      <c r="C284" s="35">
        <f t="shared" si="27"/>
        <v>42748</v>
      </c>
      <c r="D284" s="39">
        <v>2017</v>
      </c>
      <c r="E284" s="40">
        <v>13</v>
      </c>
      <c r="F284" s="37">
        <v>0.28958333333333303</v>
      </c>
      <c r="G284" s="38">
        <v>0</v>
      </c>
      <c r="H284" s="37">
        <v>0.36944444444444402</v>
      </c>
      <c r="I284" s="35">
        <f t="shared" si="28"/>
        <v>42748</v>
      </c>
      <c r="J284" s="47">
        <v>2017</v>
      </c>
      <c r="K284" s="36">
        <v>13</v>
      </c>
      <c r="L284" s="37">
        <v>0.65902777777777799</v>
      </c>
      <c r="M284" s="41">
        <v>2000</v>
      </c>
      <c r="N284" s="42">
        <v>63.84</v>
      </c>
      <c r="O284" s="471" t="s">
        <v>640</v>
      </c>
      <c r="P284" s="472" t="s">
        <v>639</v>
      </c>
    </row>
    <row r="285" spans="1:16" x14ac:dyDescent="0.2">
      <c r="A285" s="21"/>
      <c r="B285" s="45" t="s">
        <v>175</v>
      </c>
      <c r="C285" s="35">
        <f t="shared" si="27"/>
        <v>42748</v>
      </c>
      <c r="D285" s="36">
        <f>J284</f>
        <v>2017</v>
      </c>
      <c r="E285" s="36">
        <f>K284</f>
        <v>13</v>
      </c>
      <c r="F285" s="37">
        <f>L284</f>
        <v>0.65902777777777799</v>
      </c>
      <c r="G285" s="38">
        <f>IF((L285-F285)&gt;0,K285-E285,IF((L285-F285)=0,0,K285-E285 -$F$401))</f>
        <v>0</v>
      </c>
      <c r="H285" s="37">
        <f>IF((L285-F285)&gt;0,L285-F285,IF((L285-F285)=0,0,$H$401+L285-F285))</f>
        <v>0.13194444444444398</v>
      </c>
      <c r="I285" s="35">
        <f t="shared" si="28"/>
        <v>42748</v>
      </c>
      <c r="J285" s="36">
        <f>D286</f>
        <v>2017</v>
      </c>
      <c r="K285" s="36">
        <f>E286</f>
        <v>13</v>
      </c>
      <c r="L285" s="37">
        <f>F286</f>
        <v>0.79097222222222197</v>
      </c>
      <c r="M285" s="41"/>
      <c r="N285" s="42"/>
      <c r="O285" s="43">
        <f>IF(VALUE(LEFT($O286,3))&lt;192,50,IF(VALUE(LEFT($O286,3))&gt;597,50,VLOOKUP(VLOOKUP(VALUE(LEFT($O286,3)),'CIRS Table Info'!$B$6:$J$425,2,FALSE),'CIRS Table Info'!$B$428:$C$431,2,FALSE)))</f>
        <v>50</v>
      </c>
      <c r="P285" s="44">
        <f t="shared" ref="P285:P293" si="29">IF(O285=50,10,1)</f>
        <v>10</v>
      </c>
    </row>
    <row r="286" spans="1:16" x14ac:dyDescent="0.2">
      <c r="A286" s="21">
        <v>137</v>
      </c>
      <c r="B286" s="45" t="s">
        <v>570</v>
      </c>
      <c r="C286" s="35">
        <f t="shared" si="27"/>
        <v>42748</v>
      </c>
      <c r="D286" s="39">
        <v>2017</v>
      </c>
      <c r="E286" s="40">
        <v>13</v>
      </c>
      <c r="F286" s="37">
        <v>0.79097222222222197</v>
      </c>
      <c r="G286" s="38">
        <v>0</v>
      </c>
      <c r="H286" s="37">
        <v>0.33333333333333298</v>
      </c>
      <c r="I286" s="35">
        <f t="shared" si="28"/>
        <v>42749</v>
      </c>
      <c r="J286" s="47">
        <v>2017</v>
      </c>
      <c r="K286" s="36">
        <v>14</v>
      </c>
      <c r="L286" s="37">
        <v>0.124305555555556</v>
      </c>
      <c r="M286" s="41">
        <v>3000</v>
      </c>
      <c r="N286" s="42">
        <v>86.4</v>
      </c>
      <c r="O286" s="43">
        <f>IF(MID(B286,6,7)="NO_DATA",50,IF(N286=0,50,IF(A286="", " ",886)))</f>
        <v>886</v>
      </c>
      <c r="P286" s="44">
        <f t="shared" si="29"/>
        <v>1</v>
      </c>
    </row>
    <row r="287" spans="1:16" x14ac:dyDescent="0.2">
      <c r="A287" s="21"/>
      <c r="B287" s="45" t="s">
        <v>176</v>
      </c>
      <c r="C287" s="35">
        <f t="shared" si="27"/>
        <v>42749</v>
      </c>
      <c r="D287" s="36">
        <f>J286</f>
        <v>2017</v>
      </c>
      <c r="E287" s="36">
        <f>K286</f>
        <v>14</v>
      </c>
      <c r="F287" s="37">
        <f>L286</f>
        <v>0.124305555555556</v>
      </c>
      <c r="G287" s="38">
        <f>IF((L287-F287)&gt;0,K287-E287,IF((L287-F287)=0,0,K287-E287 -$F$401))</f>
        <v>0</v>
      </c>
      <c r="H287" s="37">
        <f>IF((L287-F287)&gt;0,L287-F287,IF((L287-F287)=0,0,$H$401+L287-F287))</f>
        <v>9.0277777777776985E-2</v>
      </c>
      <c r="I287" s="35">
        <f t="shared" si="28"/>
        <v>42749</v>
      </c>
      <c r="J287" s="36">
        <f>D288</f>
        <v>2017</v>
      </c>
      <c r="K287" s="36">
        <f>E288</f>
        <v>14</v>
      </c>
      <c r="L287" s="37">
        <f>F288</f>
        <v>0.21458333333333299</v>
      </c>
      <c r="M287" s="41"/>
      <c r="N287" s="42"/>
      <c r="O287" s="43">
        <f>IF(VALUE(LEFT($O288,3))&lt;192,50,IF(VALUE(LEFT($O288,3))&gt;597,50,VLOOKUP(VLOOKUP(VALUE(LEFT($O288,3)),'CIRS Table Info'!$B$6:$J$425,2,FALSE),'CIRS Table Info'!$B$428:$C$431,2,FALSE)))</f>
        <v>602</v>
      </c>
      <c r="P287" s="44">
        <f t="shared" si="29"/>
        <v>1</v>
      </c>
    </row>
    <row r="288" spans="1:16" x14ac:dyDescent="0.2">
      <c r="A288" s="21">
        <v>138</v>
      </c>
      <c r="B288" s="45" t="s">
        <v>571</v>
      </c>
      <c r="C288" s="35">
        <f t="shared" si="27"/>
        <v>42749</v>
      </c>
      <c r="D288" s="39">
        <v>2017</v>
      </c>
      <c r="E288" s="40">
        <v>14</v>
      </c>
      <c r="F288" s="37">
        <v>0.21458333333333299</v>
      </c>
      <c r="G288" s="38">
        <v>0</v>
      </c>
      <c r="H288" s="37">
        <v>0.23680555555555599</v>
      </c>
      <c r="I288" s="35">
        <f t="shared" si="28"/>
        <v>42749</v>
      </c>
      <c r="J288" s="47">
        <v>2017</v>
      </c>
      <c r="K288" s="36">
        <v>14</v>
      </c>
      <c r="L288" s="37">
        <v>0.45138888888888901</v>
      </c>
      <c r="M288" s="41">
        <v>2000</v>
      </c>
      <c r="N288" s="42">
        <v>40.92</v>
      </c>
      <c r="O288" s="43">
        <v>572</v>
      </c>
      <c r="P288" s="44">
        <f t="shared" si="29"/>
        <v>1</v>
      </c>
    </row>
    <row r="289" spans="1:16" x14ac:dyDescent="0.2">
      <c r="A289" s="21"/>
      <c r="B289" s="45" t="s">
        <v>177</v>
      </c>
      <c r="C289" s="35">
        <f t="shared" si="27"/>
        <v>42749</v>
      </c>
      <c r="D289" s="36">
        <f>J288</f>
        <v>2017</v>
      </c>
      <c r="E289" s="36">
        <f>K288</f>
        <v>14</v>
      </c>
      <c r="F289" s="37">
        <f>L288</f>
        <v>0.45138888888888901</v>
      </c>
      <c r="G289" s="38">
        <f>IF((L289-F289)&gt;0,K289-E289,IF((L289-F289)=0,0,K289-E289 -$F$401))</f>
        <v>0</v>
      </c>
      <c r="H289" s="37">
        <f>IF((L289-F289)&gt;0,L289-F289,IF((L289-F289)=0,0,$H$401+L289-F289))</f>
        <v>0</v>
      </c>
      <c r="I289" s="35">
        <f t="shared" si="28"/>
        <v>42749</v>
      </c>
      <c r="J289" s="36">
        <f>D290</f>
        <v>2017</v>
      </c>
      <c r="K289" s="36">
        <f>E290</f>
        <v>14</v>
      </c>
      <c r="L289" s="37">
        <f>F290</f>
        <v>0.45138888888888901</v>
      </c>
      <c r="M289" s="41"/>
      <c r="N289" s="42"/>
      <c r="O289" s="43">
        <f>IF(VALUE(LEFT($O290,3))&lt;192,50,IF(VALUE(LEFT($O290,3))&gt;597,50,VLOOKUP(VLOOKUP(VALUE(LEFT($O290,3)),'CIRS Table Info'!$B$6:$J$425,2,FALSE),'CIRS Table Info'!$B$428:$C$431,2,FALSE)))</f>
        <v>606</v>
      </c>
      <c r="P289" s="44">
        <f t="shared" si="29"/>
        <v>1</v>
      </c>
    </row>
    <row r="290" spans="1:16" x14ac:dyDescent="0.2">
      <c r="A290" s="21">
        <v>139</v>
      </c>
      <c r="B290" s="45" t="s">
        <v>572</v>
      </c>
      <c r="C290" s="35">
        <f t="shared" si="27"/>
        <v>42749</v>
      </c>
      <c r="D290" s="39">
        <v>2017</v>
      </c>
      <c r="E290" s="40">
        <v>14</v>
      </c>
      <c r="F290" s="37">
        <v>0.45138888888888901</v>
      </c>
      <c r="G290" s="38">
        <v>0</v>
      </c>
      <c r="H290" s="37">
        <v>0.25</v>
      </c>
      <c r="I290" s="35">
        <f t="shared" si="28"/>
        <v>42749</v>
      </c>
      <c r="J290" s="47">
        <v>2017</v>
      </c>
      <c r="K290" s="36">
        <v>14</v>
      </c>
      <c r="L290" s="37">
        <v>0.70138888888888895</v>
      </c>
      <c r="M290" s="43">
        <v>2000</v>
      </c>
      <c r="N290" s="43">
        <v>43.2</v>
      </c>
      <c r="O290" s="43">
        <v>596</v>
      </c>
      <c r="P290" s="44">
        <f t="shared" si="29"/>
        <v>1</v>
      </c>
    </row>
    <row r="291" spans="1:16" x14ac:dyDescent="0.2">
      <c r="A291" s="21"/>
      <c r="B291" s="45" t="s">
        <v>178</v>
      </c>
      <c r="C291" s="35">
        <f t="shared" si="27"/>
        <v>42749</v>
      </c>
      <c r="D291" s="36">
        <f>J290</f>
        <v>2017</v>
      </c>
      <c r="E291" s="36">
        <f>K290</f>
        <v>14</v>
      </c>
      <c r="F291" s="37">
        <f>L290</f>
        <v>0.70138888888888895</v>
      </c>
      <c r="G291" s="38">
        <f>IF((L291-F291)&gt;0,K291-E291,IF((L291-F291)=0,0,K291-E291 -$F$401))</f>
        <v>0</v>
      </c>
      <c r="H291" s="37">
        <f>IF((L291-F291)&gt;0,L291-F291,IF((L291-F291)=0,0,$H$401+L291-F291))</f>
        <v>0</v>
      </c>
      <c r="I291" s="35">
        <f t="shared" si="28"/>
        <v>42749</v>
      </c>
      <c r="J291" s="36">
        <f>D292</f>
        <v>2017</v>
      </c>
      <c r="K291" s="36">
        <f>E292</f>
        <v>14</v>
      </c>
      <c r="L291" s="37">
        <f>F292</f>
        <v>0.70138888888888895</v>
      </c>
      <c r="M291" s="41"/>
      <c r="N291" s="42"/>
      <c r="O291" s="43">
        <f>IF(VALUE(LEFT($O292,3))&lt;192,50,IF(VALUE(LEFT($O292,3))&gt;597,50,VLOOKUP(VLOOKUP(VALUE(LEFT($O292,3)),'CIRS Table Info'!$B$6:$J$425,2,FALSE),'CIRS Table Info'!$B$428:$C$431,2,FALSE)))</f>
        <v>602</v>
      </c>
      <c r="P291" s="44">
        <f t="shared" si="29"/>
        <v>1</v>
      </c>
    </row>
    <row r="292" spans="1:16" x14ac:dyDescent="0.2">
      <c r="A292" s="21">
        <v>140</v>
      </c>
      <c r="B292" s="45" t="s">
        <v>573</v>
      </c>
      <c r="C292" s="35">
        <f t="shared" si="27"/>
        <v>42749</v>
      </c>
      <c r="D292" s="39">
        <v>2017</v>
      </c>
      <c r="E292" s="40">
        <v>14</v>
      </c>
      <c r="F292" s="37">
        <v>0.70138888888888895</v>
      </c>
      <c r="G292" s="38">
        <v>0</v>
      </c>
      <c r="H292" s="37">
        <v>0.25</v>
      </c>
      <c r="I292" s="35">
        <f t="shared" si="28"/>
        <v>42749</v>
      </c>
      <c r="J292" s="47">
        <v>2017</v>
      </c>
      <c r="K292" s="36">
        <v>14</v>
      </c>
      <c r="L292" s="37">
        <v>0.95138888888888895</v>
      </c>
      <c r="M292" s="41">
        <v>2000</v>
      </c>
      <c r="N292" s="42">
        <v>43.2</v>
      </c>
      <c r="O292" s="43">
        <v>572</v>
      </c>
      <c r="P292" s="44">
        <f t="shared" si="29"/>
        <v>1</v>
      </c>
    </row>
    <row r="293" spans="1:16" x14ac:dyDescent="0.2">
      <c r="A293" s="21"/>
      <c r="B293" s="45" t="s">
        <v>179</v>
      </c>
      <c r="C293" s="35">
        <f t="shared" si="27"/>
        <v>42749</v>
      </c>
      <c r="D293" s="36">
        <f>J292</f>
        <v>2017</v>
      </c>
      <c r="E293" s="36">
        <f>K292</f>
        <v>14</v>
      </c>
      <c r="F293" s="37">
        <f>L292</f>
        <v>0.95138888888888895</v>
      </c>
      <c r="G293" s="38">
        <f>IF((L293-F293)&gt;0,K293-E293,IF((L293-F293)=0,0,K293-E293 -$F$401))</f>
        <v>0</v>
      </c>
      <c r="H293" s="37">
        <f>IF((L293-F293)&gt;0,L293-F293,IF((L293-F293)=0,0,$H$401+L293-F293))</f>
        <v>0</v>
      </c>
      <c r="I293" s="35">
        <f t="shared" si="28"/>
        <v>42749</v>
      </c>
      <c r="J293" s="36">
        <f>D294</f>
        <v>2017</v>
      </c>
      <c r="K293" s="36">
        <f>E294</f>
        <v>14</v>
      </c>
      <c r="L293" s="37">
        <f>F294</f>
        <v>0.95138888888888895</v>
      </c>
      <c r="M293" s="41"/>
      <c r="N293" s="42"/>
      <c r="O293" s="43">
        <f>IF(VALUE(LEFT($O294,3))&lt;192,50,IF(VALUE(LEFT($O294,3))&gt;597,50,VLOOKUP(VLOOKUP(VALUE(LEFT($O294,3)),'CIRS Table Info'!$B$6:$J$425,2,FALSE),'CIRS Table Info'!$B$428:$C$431,2,FALSE)))</f>
        <v>602</v>
      </c>
      <c r="P293" s="44">
        <f t="shared" si="29"/>
        <v>1</v>
      </c>
    </row>
    <row r="294" spans="1:16" x14ac:dyDescent="0.2">
      <c r="A294" s="21">
        <v>141</v>
      </c>
      <c r="B294" s="45" t="s">
        <v>574</v>
      </c>
      <c r="C294" s="35">
        <f t="shared" si="27"/>
        <v>42749</v>
      </c>
      <c r="D294" s="39">
        <v>2017</v>
      </c>
      <c r="E294" s="40">
        <v>14</v>
      </c>
      <c r="F294" s="37">
        <v>0.95138888888888895</v>
      </c>
      <c r="G294" s="38">
        <v>0</v>
      </c>
      <c r="H294" s="37">
        <v>0.45833333333333298</v>
      </c>
      <c r="I294" s="35">
        <f t="shared" si="28"/>
        <v>42750</v>
      </c>
      <c r="J294" s="47">
        <v>2017</v>
      </c>
      <c r="K294" s="36">
        <v>15</v>
      </c>
      <c r="L294" s="37">
        <v>0.40972222222222199</v>
      </c>
      <c r="M294" s="41">
        <v>2000</v>
      </c>
      <c r="N294" s="42">
        <v>79.2</v>
      </c>
      <c r="O294" s="43">
        <v>572</v>
      </c>
      <c r="P294" s="44">
        <v>2</v>
      </c>
    </row>
    <row r="295" spans="1:16" x14ac:dyDescent="0.2">
      <c r="A295" s="21"/>
      <c r="B295" s="45" t="s">
        <v>180</v>
      </c>
      <c r="C295" s="35">
        <f t="shared" si="27"/>
        <v>42750</v>
      </c>
      <c r="D295" s="36">
        <f>J294</f>
        <v>2017</v>
      </c>
      <c r="E295" s="36">
        <f>K294</f>
        <v>15</v>
      </c>
      <c r="F295" s="37">
        <f>L294</f>
        <v>0.40972222222222199</v>
      </c>
      <c r="G295" s="38">
        <f>IF((L295-F295)&gt;0,K295-E295,IF((L295-F295)=0,0,K295-E295 -$F$401))</f>
        <v>0</v>
      </c>
      <c r="H295" s="37">
        <f>IF((L295-F295)&gt;0,L295-F295,IF((L295-F295)=0,0,$H$401+L295-F295))</f>
        <v>0.13194444444444497</v>
      </c>
      <c r="I295" s="35">
        <f t="shared" si="28"/>
        <v>42750</v>
      </c>
      <c r="J295" s="36">
        <f>D296</f>
        <v>2017</v>
      </c>
      <c r="K295" s="36">
        <f>E296</f>
        <v>15</v>
      </c>
      <c r="L295" s="37">
        <f>F296</f>
        <v>0.54166666666666696</v>
      </c>
      <c r="M295" s="41"/>
      <c r="N295" s="42"/>
      <c r="O295" s="43">
        <f>IF(VALUE(LEFT($O296,3))&lt;192,50,IF(VALUE(LEFT($O296,3))&gt;597,50,VLOOKUP(VLOOKUP(VALUE(LEFT($O296,3)),'CIRS Table Info'!$B$6:$J$425,2,FALSE),'CIRS Table Info'!$B$428:$C$431,2,FALSE)))</f>
        <v>50</v>
      </c>
      <c r="P295" s="44">
        <f>IF(O295=50,10,1)</f>
        <v>10</v>
      </c>
    </row>
    <row r="296" spans="1:16" x14ac:dyDescent="0.2">
      <c r="A296" s="21">
        <v>142</v>
      </c>
      <c r="B296" s="45" t="s">
        <v>575</v>
      </c>
      <c r="C296" s="35">
        <f t="shared" si="27"/>
        <v>42750</v>
      </c>
      <c r="D296" s="39">
        <v>2017</v>
      </c>
      <c r="E296" s="40">
        <v>15</v>
      </c>
      <c r="F296" s="37">
        <v>0.54166666666666696</v>
      </c>
      <c r="G296" s="38">
        <v>0</v>
      </c>
      <c r="H296" s="37">
        <v>0.21388888888888899</v>
      </c>
      <c r="I296" s="35">
        <f t="shared" si="28"/>
        <v>42750</v>
      </c>
      <c r="J296" s="47">
        <v>2017</v>
      </c>
      <c r="K296" s="36">
        <v>15</v>
      </c>
      <c r="L296" s="37">
        <v>0.75555555555555598</v>
      </c>
      <c r="M296" s="41">
        <v>3000</v>
      </c>
      <c r="N296" s="42">
        <v>55.44</v>
      </c>
      <c r="O296" s="43">
        <f>IF(MID(B296,6,7)="NO_DATA",50,IF(N296=0,50,IF(A296="", " ",891)))</f>
        <v>891</v>
      </c>
      <c r="P296" s="44">
        <f>IF(O296=50,10,1)</f>
        <v>1</v>
      </c>
    </row>
    <row r="297" spans="1:16" x14ac:dyDescent="0.2">
      <c r="A297" s="21"/>
      <c r="B297" s="45" t="s">
        <v>181</v>
      </c>
      <c r="C297" s="35">
        <f t="shared" si="27"/>
        <v>42750</v>
      </c>
      <c r="D297" s="36">
        <f>J296</f>
        <v>2017</v>
      </c>
      <c r="E297" s="36">
        <f>K296</f>
        <v>15</v>
      </c>
      <c r="F297" s="37">
        <f>L296</f>
        <v>0.75555555555555598</v>
      </c>
      <c r="G297" s="38">
        <f>IF((L297-F297)&gt;0,K297-E297,IF((L297-F297)=0,0,K297-E297 -$F$401))</f>
        <v>0</v>
      </c>
      <c r="H297" s="37">
        <f>IF((L297-F297)&gt;0,L297-F297,IF((L297-F297)=0,0,$H$401+L297-F297))</f>
        <v>0.30972222222222179</v>
      </c>
      <c r="I297" s="35">
        <f t="shared" si="28"/>
        <v>42751</v>
      </c>
      <c r="J297" s="36">
        <f>D298</f>
        <v>2017</v>
      </c>
      <c r="K297" s="36">
        <f>E298</f>
        <v>16</v>
      </c>
      <c r="L297" s="37">
        <f>F298</f>
        <v>6.5277777777777796E-2</v>
      </c>
      <c r="M297" s="41"/>
      <c r="N297" s="42"/>
      <c r="O297" s="43">
        <f>IF(VALUE(LEFT($O298,3))&lt;192,50,IF(VALUE(LEFT($O298,3))&gt;597,50,VLOOKUP(VLOOKUP(VALUE(LEFT($O298,3)),'CIRS Table Info'!$B$6:$J$425,2,FALSE),'CIRS Table Info'!$B$428:$C$431,2,FALSE)))</f>
        <v>602</v>
      </c>
      <c r="P297" s="44">
        <f>IF(O297=50,10,1)</f>
        <v>1</v>
      </c>
    </row>
    <row r="298" spans="1:16" x14ac:dyDescent="0.2">
      <c r="A298" s="21">
        <v>143</v>
      </c>
      <c r="B298" s="45" t="s">
        <v>576</v>
      </c>
      <c r="C298" s="35">
        <f t="shared" si="27"/>
        <v>42751</v>
      </c>
      <c r="D298" s="39">
        <v>2017</v>
      </c>
      <c r="E298" s="40">
        <v>16</v>
      </c>
      <c r="F298" s="37">
        <v>6.5277777777777796E-2</v>
      </c>
      <c r="G298" s="38">
        <v>0</v>
      </c>
      <c r="H298" s="37">
        <v>0.16597222222222199</v>
      </c>
      <c r="I298" s="35">
        <f t="shared" si="28"/>
        <v>42751</v>
      </c>
      <c r="J298" s="47">
        <v>2017</v>
      </c>
      <c r="K298" s="36">
        <v>16</v>
      </c>
      <c r="L298" s="37">
        <v>0.23125000000000001</v>
      </c>
      <c r="M298" s="41">
        <v>2000</v>
      </c>
      <c r="N298" s="42">
        <v>28.68</v>
      </c>
      <c r="O298" s="43">
        <v>522</v>
      </c>
      <c r="P298" s="44">
        <f>IF(O298=50,10,1)</f>
        <v>1</v>
      </c>
    </row>
    <row r="299" spans="1:16" x14ac:dyDescent="0.2">
      <c r="A299" s="21"/>
      <c r="B299" s="45" t="s">
        <v>182</v>
      </c>
      <c r="C299" s="35">
        <f t="shared" si="27"/>
        <v>42751</v>
      </c>
      <c r="D299" s="36">
        <f>J298</f>
        <v>2017</v>
      </c>
      <c r="E299" s="36">
        <f>K298</f>
        <v>16</v>
      </c>
      <c r="F299" s="37">
        <f>L298</f>
        <v>0.23125000000000001</v>
      </c>
      <c r="G299" s="38">
        <f>IF((L299-F299)&gt;0,K299-E299,IF((L299-F299)=0,0,K299-E299 -$F$401))</f>
        <v>0</v>
      </c>
      <c r="H299" s="37">
        <f>IF((L299-F299)&gt;0,L299-F299,IF((L299-F299)=0,0,$H$401+L299-F299))</f>
        <v>0</v>
      </c>
      <c r="I299" s="35">
        <f t="shared" si="28"/>
        <v>42751</v>
      </c>
      <c r="J299" s="36">
        <f>D300</f>
        <v>2017</v>
      </c>
      <c r="K299" s="36">
        <f>E300</f>
        <v>16</v>
      </c>
      <c r="L299" s="37">
        <f>F300</f>
        <v>0.23125000000000001</v>
      </c>
      <c r="M299" s="41"/>
      <c r="N299" s="42"/>
      <c r="O299" s="43">
        <f>IF(VALUE(LEFT($O300,3))&lt;192,50,IF(VALUE(LEFT($O300,3))&gt;597,50,VLOOKUP(VLOOKUP(VALUE(LEFT($O300,3)),'CIRS Table Info'!$B$6:$J$425,2,FALSE),'CIRS Table Info'!$B$428:$C$431,2,FALSE)))</f>
        <v>600</v>
      </c>
      <c r="P299" s="44">
        <f>IF(O299=50,10,1)</f>
        <v>1</v>
      </c>
    </row>
    <row r="300" spans="1:16" x14ac:dyDescent="0.2">
      <c r="A300" s="21">
        <v>144</v>
      </c>
      <c r="B300" s="45" t="s">
        <v>577</v>
      </c>
      <c r="C300" s="35">
        <f t="shared" si="27"/>
        <v>42751</v>
      </c>
      <c r="D300" s="39">
        <v>2017</v>
      </c>
      <c r="E300" s="40">
        <v>16</v>
      </c>
      <c r="F300" s="37">
        <v>0.23125000000000001</v>
      </c>
      <c r="G300" s="38">
        <v>0</v>
      </c>
      <c r="H300" s="37">
        <v>0.25</v>
      </c>
      <c r="I300" s="35">
        <f t="shared" si="28"/>
        <v>42751</v>
      </c>
      <c r="J300" s="47">
        <v>2017</v>
      </c>
      <c r="K300" s="36">
        <v>16</v>
      </c>
      <c r="L300" s="37">
        <v>0.48125000000000001</v>
      </c>
      <c r="M300" s="41">
        <v>4000</v>
      </c>
      <c r="N300" s="42">
        <v>86.4</v>
      </c>
      <c r="O300" s="471">
        <v>555</v>
      </c>
      <c r="P300" s="472">
        <v>1</v>
      </c>
    </row>
    <row r="301" spans="1:16" x14ac:dyDescent="0.2">
      <c r="A301" s="21"/>
      <c r="B301" s="45" t="s">
        <v>183</v>
      </c>
      <c r="C301" s="35">
        <f t="shared" si="27"/>
        <v>42751</v>
      </c>
      <c r="D301" s="36">
        <f>J300</f>
        <v>2017</v>
      </c>
      <c r="E301" s="36">
        <f>K300</f>
        <v>16</v>
      </c>
      <c r="F301" s="37">
        <f>L300</f>
        <v>0.48125000000000001</v>
      </c>
      <c r="G301" s="38">
        <f>IF((L301-F301)&gt;0,K301-E301,IF((L301-F301)=0,0,K301-E301 -$F$401))</f>
        <v>0</v>
      </c>
      <c r="H301" s="37">
        <f>IF((L301-F301)&gt;0,L301-F301,IF((L301-F301)=0,0,$H$401+L301-F301))</f>
        <v>0</v>
      </c>
      <c r="I301" s="35">
        <f t="shared" si="28"/>
        <v>42751</v>
      </c>
      <c r="J301" s="36">
        <f>D302</f>
        <v>2017</v>
      </c>
      <c r="K301" s="36">
        <f>E302</f>
        <v>16</v>
      </c>
      <c r="L301" s="37">
        <f>F302</f>
        <v>0.48125000000000001</v>
      </c>
      <c r="M301" s="41"/>
      <c r="N301" s="42"/>
      <c r="O301" s="43">
        <f>IF(VALUE(LEFT($O302,3))&lt;192,50,IF(VALUE(LEFT($O302,3))&gt;597,50,VLOOKUP(VLOOKUP(VALUE(LEFT($O302,3)),'CIRS Table Info'!$B$6:$J$425,2,FALSE),'CIRS Table Info'!$B$428:$C$431,2,FALSE)))</f>
        <v>50</v>
      </c>
      <c r="P301" s="44">
        <f>IF(O301=50,10,1)</f>
        <v>10</v>
      </c>
    </row>
    <row r="302" spans="1:16" x14ac:dyDescent="0.2">
      <c r="A302" s="21">
        <v>145</v>
      </c>
      <c r="B302" s="45" t="s">
        <v>580</v>
      </c>
      <c r="C302" s="35">
        <f t="shared" si="27"/>
        <v>42751</v>
      </c>
      <c r="D302" s="39">
        <v>2017</v>
      </c>
      <c r="E302" s="40">
        <v>16</v>
      </c>
      <c r="F302" s="37">
        <v>0.48125000000000001</v>
      </c>
      <c r="G302" s="38">
        <v>0</v>
      </c>
      <c r="H302" s="37">
        <v>0.104166666666667</v>
      </c>
      <c r="I302" s="35">
        <f t="shared" si="28"/>
        <v>42751</v>
      </c>
      <c r="J302" s="47">
        <v>2017</v>
      </c>
      <c r="K302" s="36">
        <v>16</v>
      </c>
      <c r="L302" s="37">
        <v>0.58541666666666703</v>
      </c>
      <c r="M302" s="41">
        <v>4000</v>
      </c>
      <c r="N302" s="42">
        <v>36</v>
      </c>
      <c r="O302" s="43">
        <f>IF(MID(B302,6,7)="NO_DATA",50,IF(N302=0,50,IF(A302="", " ",894)))</f>
        <v>894</v>
      </c>
      <c r="P302" s="44">
        <f>IF(O302=50,10,1)</f>
        <v>1</v>
      </c>
    </row>
    <row r="303" spans="1:16" x14ac:dyDescent="0.2">
      <c r="A303" s="21"/>
      <c r="B303" s="45" t="s">
        <v>184</v>
      </c>
      <c r="C303" s="35">
        <f t="shared" si="27"/>
        <v>42751</v>
      </c>
      <c r="D303" s="36">
        <f>J302</f>
        <v>2017</v>
      </c>
      <c r="E303" s="36">
        <f>K302</f>
        <v>16</v>
      </c>
      <c r="F303" s="37">
        <f>L302</f>
        <v>0.58541666666666703</v>
      </c>
      <c r="G303" s="38">
        <f>IF((L303-F303)&gt;0,K303-E303,IF((L303-F303)=0,0,K303-E303 -$F$401))</f>
        <v>0</v>
      </c>
      <c r="H303" s="37">
        <f>IF((L303-F303)&gt;0,L303-F303,IF((L303-F303)=0,0,$H$401+L303-F303))</f>
        <v>0</v>
      </c>
      <c r="I303" s="35">
        <f t="shared" si="28"/>
        <v>42751</v>
      </c>
      <c r="J303" s="36">
        <f>D304</f>
        <v>2017</v>
      </c>
      <c r="K303" s="36">
        <f>E304</f>
        <v>16</v>
      </c>
      <c r="L303" s="37">
        <f>F304</f>
        <v>0.58541666666666703</v>
      </c>
      <c r="M303" s="41"/>
      <c r="N303" s="42"/>
      <c r="O303" s="43">
        <f>IF(VALUE(LEFT($O304,3))&lt;192,50,IF(VALUE(LEFT($O304,3))&gt;597,50,VLOOKUP(VLOOKUP(VALUE(LEFT($O304,3)),'CIRS Table Info'!$B$6:$J$425,2,FALSE),'CIRS Table Info'!$B$428:$C$431,2,FALSE)))</f>
        <v>602</v>
      </c>
      <c r="P303" s="44">
        <f>IF(O303=50,10,1)</f>
        <v>1</v>
      </c>
    </row>
    <row r="304" spans="1:16" x14ac:dyDescent="0.2">
      <c r="A304" s="21">
        <v>146</v>
      </c>
      <c r="B304" s="45" t="s">
        <v>582</v>
      </c>
      <c r="C304" s="35">
        <f t="shared" si="27"/>
        <v>42751</v>
      </c>
      <c r="D304" s="39">
        <v>2017</v>
      </c>
      <c r="E304" s="40">
        <v>16</v>
      </c>
      <c r="F304" s="37">
        <v>0.58541666666666703</v>
      </c>
      <c r="G304" s="38">
        <v>0</v>
      </c>
      <c r="H304" s="37">
        <v>0.14444444444444399</v>
      </c>
      <c r="I304" s="35">
        <f t="shared" si="28"/>
        <v>42751</v>
      </c>
      <c r="J304" s="47">
        <v>2017</v>
      </c>
      <c r="K304" s="36">
        <v>16</v>
      </c>
      <c r="L304" s="37">
        <v>0.72986111111111096</v>
      </c>
      <c r="M304" s="41">
        <v>2000</v>
      </c>
      <c r="N304" s="42">
        <v>24.96</v>
      </c>
      <c r="O304" s="43">
        <v>522</v>
      </c>
      <c r="P304" s="44">
        <f>IF(O304=50,10,1)</f>
        <v>1</v>
      </c>
    </row>
    <row r="305" spans="1:16" x14ac:dyDescent="0.2">
      <c r="A305" s="21"/>
      <c r="B305" s="45" t="s">
        <v>185</v>
      </c>
      <c r="C305" s="35">
        <f t="shared" si="27"/>
        <v>42751</v>
      </c>
      <c r="D305" s="36">
        <f>J304</f>
        <v>2017</v>
      </c>
      <c r="E305" s="36">
        <f>K304</f>
        <v>16</v>
      </c>
      <c r="F305" s="37">
        <f>L304</f>
        <v>0.72986111111111096</v>
      </c>
      <c r="G305" s="38">
        <f>IF((L305-F305)&gt;0,K305-E305,IF((L305-F305)=0,0,K305-E305 -$F$401))</f>
        <v>0</v>
      </c>
      <c r="H305" s="37">
        <f>IF((L305-F305)&gt;0,L305-F305,IF((L305-F305)=0,0,$H$401+L305-F305))</f>
        <v>0</v>
      </c>
      <c r="I305" s="35">
        <f t="shared" si="28"/>
        <v>42751</v>
      </c>
      <c r="J305" s="36">
        <f>D306</f>
        <v>2017</v>
      </c>
      <c r="K305" s="36">
        <f>E306</f>
        <v>16</v>
      </c>
      <c r="L305" s="37">
        <f>F306</f>
        <v>0.72986111111111096</v>
      </c>
      <c r="M305" s="41"/>
      <c r="N305" s="42"/>
      <c r="O305" s="43">
        <f>IF(VALUE(LEFT($O306,3))&lt;192,50,IF(VALUE(LEFT($O306,3))&gt;597,50,VLOOKUP(VLOOKUP(VALUE(LEFT($O306,3)),'CIRS Table Info'!$B$6:$J$425,2,FALSE),'CIRS Table Info'!$B$428:$C$431,2,FALSE)))</f>
        <v>600</v>
      </c>
      <c r="P305" s="44">
        <f>IF(O305=50,10,1)</f>
        <v>1</v>
      </c>
    </row>
    <row r="306" spans="1:16" x14ac:dyDescent="0.2">
      <c r="A306" s="21">
        <v>147</v>
      </c>
      <c r="B306" s="45" t="s">
        <v>583</v>
      </c>
      <c r="C306" s="35">
        <f t="shared" si="27"/>
        <v>42751</v>
      </c>
      <c r="D306" s="39">
        <v>2017</v>
      </c>
      <c r="E306" s="40">
        <v>16</v>
      </c>
      <c r="F306" s="37">
        <v>0.72986111111111096</v>
      </c>
      <c r="G306" s="38">
        <v>0</v>
      </c>
      <c r="H306" s="37">
        <v>0.16666666666666699</v>
      </c>
      <c r="I306" s="35">
        <f t="shared" si="28"/>
        <v>42751</v>
      </c>
      <c r="J306" s="47">
        <v>2017</v>
      </c>
      <c r="K306" s="36">
        <v>16</v>
      </c>
      <c r="L306" s="37">
        <v>0.89652777777777803</v>
      </c>
      <c r="M306" s="41">
        <v>4000</v>
      </c>
      <c r="N306" s="42">
        <v>57.6</v>
      </c>
      <c r="O306" s="471">
        <v>505</v>
      </c>
      <c r="P306" s="472">
        <v>1</v>
      </c>
    </row>
    <row r="307" spans="1:16" x14ac:dyDescent="0.2">
      <c r="A307" s="21"/>
      <c r="B307" s="45" t="s">
        <v>186</v>
      </c>
      <c r="C307" s="35">
        <f t="shared" si="27"/>
        <v>42751</v>
      </c>
      <c r="D307" s="36">
        <f>J306</f>
        <v>2017</v>
      </c>
      <c r="E307" s="36">
        <f>K306</f>
        <v>16</v>
      </c>
      <c r="F307" s="37">
        <f>L306</f>
        <v>0.89652777777777803</v>
      </c>
      <c r="G307" s="38">
        <f>IF((L307-F307)&gt;0,K307-E307,IF((L307-F307)=0,0,K307-E307 -$F$401))</f>
        <v>0</v>
      </c>
      <c r="H307" s="37">
        <f>IF((L307-F307)&gt;0,L307-F307,IF((L307-F307)=0,0,$H$401+L307-F307))</f>
        <v>0</v>
      </c>
      <c r="I307" s="35">
        <f t="shared" si="28"/>
        <v>42751</v>
      </c>
      <c r="J307" s="36">
        <f>D308</f>
        <v>2017</v>
      </c>
      <c r="K307" s="36">
        <f>E308</f>
        <v>16</v>
      </c>
      <c r="L307" s="37">
        <f>F308</f>
        <v>0.89652777777777803</v>
      </c>
      <c r="M307" s="41"/>
      <c r="N307" s="42"/>
      <c r="O307" s="43">
        <f>IF(VALUE(LEFT($O308,3))&lt;192,50,IF(VALUE(LEFT($O308,3))&gt;597,50,VLOOKUP(VLOOKUP(VALUE(LEFT($O308,3)),'CIRS Table Info'!$B$6:$J$425,2,FALSE),'CIRS Table Info'!$B$428:$C$431,2,FALSE)))</f>
        <v>602</v>
      </c>
      <c r="P307" s="44">
        <f t="shared" ref="P307:P317" si="30">IF(O307=50,10,1)</f>
        <v>1</v>
      </c>
    </row>
    <row r="308" spans="1:16" x14ac:dyDescent="0.2">
      <c r="A308" s="21">
        <v>148</v>
      </c>
      <c r="B308" s="45" t="s">
        <v>584</v>
      </c>
      <c r="C308" s="35">
        <f t="shared" si="27"/>
        <v>42751</v>
      </c>
      <c r="D308" s="39">
        <v>2017</v>
      </c>
      <c r="E308" s="40">
        <v>16</v>
      </c>
      <c r="F308" s="37">
        <v>0.89652777777777803</v>
      </c>
      <c r="G308" s="38">
        <v>0</v>
      </c>
      <c r="H308" s="37">
        <v>0.10347222222222199</v>
      </c>
      <c r="I308" s="35">
        <f t="shared" si="28"/>
        <v>42752</v>
      </c>
      <c r="J308" s="47">
        <v>2017</v>
      </c>
      <c r="K308" s="36">
        <v>17</v>
      </c>
      <c r="L308" s="37">
        <v>0</v>
      </c>
      <c r="M308" s="41">
        <v>2000</v>
      </c>
      <c r="N308" s="42">
        <v>17.88</v>
      </c>
      <c r="O308" s="43">
        <v>472</v>
      </c>
      <c r="P308" s="44">
        <f t="shared" si="30"/>
        <v>1</v>
      </c>
    </row>
    <row r="309" spans="1:16" x14ac:dyDescent="0.2">
      <c r="A309" s="21"/>
      <c r="B309" s="45" t="s">
        <v>187</v>
      </c>
      <c r="C309" s="35">
        <f t="shared" si="27"/>
        <v>42752</v>
      </c>
      <c r="D309" s="36">
        <f>J308</f>
        <v>2017</v>
      </c>
      <c r="E309" s="36">
        <f>K308</f>
        <v>17</v>
      </c>
      <c r="F309" s="37">
        <f>L308</f>
        <v>0</v>
      </c>
      <c r="G309" s="38">
        <f>IF((L309-F309)&gt;0,K309-E309,IF((L309-F309)=0,0,K309-E309 -$F$401))</f>
        <v>0</v>
      </c>
      <c r="H309" s="37">
        <f>IF((L309-F309)&gt;0,L309-F309,IF((L309-F309)=0,0,$H$401+L309-F309))</f>
        <v>0</v>
      </c>
      <c r="I309" s="35">
        <f t="shared" si="28"/>
        <v>42752</v>
      </c>
      <c r="J309" s="36">
        <f>D310</f>
        <v>2017</v>
      </c>
      <c r="K309" s="36">
        <f>E310</f>
        <v>17</v>
      </c>
      <c r="L309" s="37">
        <f>F310</f>
        <v>0</v>
      </c>
      <c r="M309" s="41"/>
      <c r="N309" s="42"/>
      <c r="O309" s="43">
        <f>IF(VALUE(LEFT($O310,3))&lt;192,50,IF(VALUE(LEFT($O310,3))&gt;597,50,VLOOKUP(VLOOKUP(VALUE(LEFT($O310,3)),'CIRS Table Info'!$B$6:$J$425,2,FALSE),'CIRS Table Info'!$B$428:$C$431,2,FALSE)))</f>
        <v>602</v>
      </c>
      <c r="P309" s="44">
        <f t="shared" si="30"/>
        <v>1</v>
      </c>
    </row>
    <row r="310" spans="1:16" x14ac:dyDescent="0.2">
      <c r="A310" s="21">
        <v>149</v>
      </c>
      <c r="B310" s="45" t="s">
        <v>585</v>
      </c>
      <c r="C310" s="35">
        <f t="shared" si="27"/>
        <v>42752</v>
      </c>
      <c r="D310" s="39">
        <v>2017</v>
      </c>
      <c r="E310" s="40">
        <v>17</v>
      </c>
      <c r="F310" s="37">
        <v>0</v>
      </c>
      <c r="G310" s="38">
        <v>0</v>
      </c>
      <c r="H310" s="37">
        <v>6.5972222222222196E-2</v>
      </c>
      <c r="I310" s="35">
        <f t="shared" si="28"/>
        <v>42752</v>
      </c>
      <c r="J310" s="47">
        <v>2017</v>
      </c>
      <c r="K310" s="36">
        <v>17</v>
      </c>
      <c r="L310" s="37">
        <v>6.5972222222222196E-2</v>
      </c>
      <c r="M310" s="41">
        <v>2000</v>
      </c>
      <c r="N310" s="42">
        <v>11.4</v>
      </c>
      <c r="O310" s="43">
        <v>422</v>
      </c>
      <c r="P310" s="44">
        <f t="shared" si="30"/>
        <v>1</v>
      </c>
    </row>
    <row r="311" spans="1:16" x14ac:dyDescent="0.2">
      <c r="A311" s="21"/>
      <c r="B311" s="45" t="s">
        <v>188</v>
      </c>
      <c r="C311" s="35">
        <f t="shared" si="27"/>
        <v>42752</v>
      </c>
      <c r="D311" s="47">
        <f>J310</f>
        <v>2017</v>
      </c>
      <c r="E311" s="36">
        <f>K310</f>
        <v>17</v>
      </c>
      <c r="F311" s="37">
        <f>L310</f>
        <v>6.5972222222222196E-2</v>
      </c>
      <c r="G311" s="38">
        <f>IF((L311-F311)&gt;0,K311-E311,IF((L311-F311)=0,0,K311-E311 -$F$401))</f>
        <v>0</v>
      </c>
      <c r="H311" s="37">
        <f>IF((L311-F311)&gt;0,L311-F311,IF((L311-F311)=0,0,$H$401+L311-F311))</f>
        <v>0</v>
      </c>
      <c r="I311" s="35">
        <f t="shared" si="28"/>
        <v>42752</v>
      </c>
      <c r="J311" s="36">
        <f>D312</f>
        <v>2017</v>
      </c>
      <c r="K311" s="36">
        <f>E312</f>
        <v>17</v>
      </c>
      <c r="L311" s="37">
        <f>F312</f>
        <v>6.5972222222222196E-2</v>
      </c>
      <c r="M311" s="41"/>
      <c r="N311" s="42"/>
      <c r="O311" s="43">
        <f>IF(VALUE(LEFT($O312,3))&lt;192,50,IF(VALUE(LEFT($O312,3))&gt;597,50,VLOOKUP(VLOOKUP(VALUE(LEFT($O312,3)),'CIRS Table Info'!$B$6:$J$425,2,FALSE),'CIRS Table Info'!$B$428:$C$431,2,FALSE)))</f>
        <v>602</v>
      </c>
      <c r="P311" s="44">
        <f t="shared" si="30"/>
        <v>1</v>
      </c>
    </row>
    <row r="312" spans="1:16" x14ac:dyDescent="0.2">
      <c r="A312" s="21">
        <v>150</v>
      </c>
      <c r="B312" s="45" t="s">
        <v>586</v>
      </c>
      <c r="C312" s="35">
        <f t="shared" si="27"/>
        <v>42752</v>
      </c>
      <c r="D312" s="39">
        <v>2017</v>
      </c>
      <c r="E312" s="40">
        <v>17</v>
      </c>
      <c r="F312" s="37">
        <v>6.5972222222222196E-2</v>
      </c>
      <c r="G312" s="38">
        <v>0</v>
      </c>
      <c r="H312" s="37">
        <v>0.100694444444444</v>
      </c>
      <c r="I312" s="35">
        <f t="shared" si="28"/>
        <v>42752</v>
      </c>
      <c r="J312" s="47">
        <v>2017</v>
      </c>
      <c r="K312" s="36">
        <v>17</v>
      </c>
      <c r="L312" s="37">
        <v>0.16666666666666699</v>
      </c>
      <c r="M312" s="41">
        <v>2000</v>
      </c>
      <c r="N312" s="42">
        <v>17.399999999999999</v>
      </c>
      <c r="O312" s="43">
        <v>472</v>
      </c>
      <c r="P312" s="44">
        <f t="shared" si="30"/>
        <v>1</v>
      </c>
    </row>
    <row r="313" spans="1:16" x14ac:dyDescent="0.2">
      <c r="A313" s="21"/>
      <c r="B313" s="45" t="s">
        <v>189</v>
      </c>
      <c r="C313" s="35">
        <f t="shared" si="27"/>
        <v>42752</v>
      </c>
      <c r="D313" s="36">
        <f>J312</f>
        <v>2017</v>
      </c>
      <c r="E313" s="36">
        <f>K312</f>
        <v>17</v>
      </c>
      <c r="F313" s="37">
        <f>L312</f>
        <v>0.16666666666666699</v>
      </c>
      <c r="G313" s="38">
        <f>IF((L313-F313)&gt;0,K313-E313,IF((L313-F313)=0,0,K313-E313 -$F$401))</f>
        <v>0</v>
      </c>
      <c r="H313" s="37">
        <f>IF((L313-F313)&gt;0,L313-F313,IF((L313-F313)=0,0,$H$401+L313-F313))</f>
        <v>6.3888888888889023E-2</v>
      </c>
      <c r="I313" s="35">
        <f t="shared" si="28"/>
        <v>42752</v>
      </c>
      <c r="J313" s="36">
        <f>D314</f>
        <v>2017</v>
      </c>
      <c r="K313" s="36">
        <f>E314</f>
        <v>17</v>
      </c>
      <c r="L313" s="37">
        <f>F314</f>
        <v>0.23055555555555601</v>
      </c>
      <c r="M313" s="41"/>
      <c r="N313" s="42"/>
      <c r="O313" s="43">
        <f>IF(VALUE(LEFT($O314,3))&lt;192,50,IF(VALUE(LEFT($O314,3))&gt;597,50,VLOOKUP(VLOOKUP(VALUE(LEFT($O314,3)),'CIRS Table Info'!$B$6:$J$425,2,FALSE),'CIRS Table Info'!$B$428:$C$431,2,FALSE)))</f>
        <v>602</v>
      </c>
      <c r="P313" s="44">
        <f t="shared" si="30"/>
        <v>1</v>
      </c>
    </row>
    <row r="314" spans="1:16" x14ac:dyDescent="0.2">
      <c r="A314" s="21">
        <v>151</v>
      </c>
      <c r="B314" s="45" t="s">
        <v>587</v>
      </c>
      <c r="C314" s="35">
        <f t="shared" si="27"/>
        <v>42752</v>
      </c>
      <c r="D314" s="39">
        <v>2017</v>
      </c>
      <c r="E314" s="40">
        <v>17</v>
      </c>
      <c r="F314" s="37">
        <v>0.23055555555555601</v>
      </c>
      <c r="G314" s="38">
        <v>0</v>
      </c>
      <c r="H314" s="37">
        <v>6.5972222222222196E-2</v>
      </c>
      <c r="I314" s="35">
        <f t="shared" si="28"/>
        <v>42752</v>
      </c>
      <c r="J314" s="47">
        <v>2017</v>
      </c>
      <c r="K314" s="36">
        <v>17</v>
      </c>
      <c r="L314" s="37">
        <v>0.296527777777778</v>
      </c>
      <c r="M314" s="41">
        <v>2000</v>
      </c>
      <c r="N314" s="42">
        <v>11.4</v>
      </c>
      <c r="O314" s="43">
        <v>422</v>
      </c>
      <c r="P314" s="44">
        <f t="shared" si="30"/>
        <v>1</v>
      </c>
    </row>
    <row r="315" spans="1:16" x14ac:dyDescent="0.2">
      <c r="A315" s="21"/>
      <c r="B315" s="45" t="s">
        <v>190</v>
      </c>
      <c r="C315" s="35">
        <f t="shared" si="27"/>
        <v>42752</v>
      </c>
      <c r="D315" s="36">
        <f>J314</f>
        <v>2017</v>
      </c>
      <c r="E315" s="36">
        <f>K314</f>
        <v>17</v>
      </c>
      <c r="F315" s="37">
        <f>L314</f>
        <v>0.296527777777778</v>
      </c>
      <c r="G315" s="38">
        <f>IF((L315-F315)&gt;0,K315-E315,IF((L315-F315)=0,0,K315-E315 -$F$401))</f>
        <v>0</v>
      </c>
      <c r="H315" s="37">
        <f>IF((L315-F315)&gt;0,L315-F315,IF((L315-F315)=0,0,$H$401+L315-F315))</f>
        <v>0.41180555555555504</v>
      </c>
      <c r="I315" s="35">
        <f t="shared" si="28"/>
        <v>42752</v>
      </c>
      <c r="J315" s="36">
        <f>D316</f>
        <v>2017</v>
      </c>
      <c r="K315" s="36">
        <f>E316</f>
        <v>17</v>
      </c>
      <c r="L315" s="37">
        <f>F316</f>
        <v>0.70833333333333304</v>
      </c>
      <c r="M315" s="41"/>
      <c r="N315" s="42"/>
      <c r="O315" s="43">
        <f>IF(VALUE(LEFT($O316,3))&lt;192,50,IF(VALUE(LEFT($O316,3))&gt;597,50,VLOOKUP(VLOOKUP(VALUE(LEFT($O316,3)),'CIRS Table Info'!$B$6:$J$425,2,FALSE),'CIRS Table Info'!$B$428:$C$431,2,FALSE)))</f>
        <v>50</v>
      </c>
      <c r="P315" s="44">
        <f t="shared" si="30"/>
        <v>10</v>
      </c>
    </row>
    <row r="316" spans="1:16" x14ac:dyDescent="0.2">
      <c r="A316" s="21">
        <v>152</v>
      </c>
      <c r="B316" s="45" t="s">
        <v>588</v>
      </c>
      <c r="C316" s="35">
        <f t="shared" si="27"/>
        <v>42752</v>
      </c>
      <c r="D316" s="39">
        <v>2017</v>
      </c>
      <c r="E316" s="40">
        <v>17</v>
      </c>
      <c r="F316" s="37">
        <v>0.70833333333333304</v>
      </c>
      <c r="G316" s="38">
        <v>0</v>
      </c>
      <c r="H316" s="37">
        <v>0.264583333333333</v>
      </c>
      <c r="I316" s="35">
        <f t="shared" si="28"/>
        <v>42752</v>
      </c>
      <c r="J316" s="47">
        <v>2017</v>
      </c>
      <c r="K316" s="36">
        <v>17</v>
      </c>
      <c r="L316" s="37">
        <v>0.97291666666666698</v>
      </c>
      <c r="M316" s="41">
        <v>3000</v>
      </c>
      <c r="N316" s="42">
        <v>68.58</v>
      </c>
      <c r="O316" s="43">
        <f>IF(MID(B316,6,7)="NO_DATA",50,IF(N316=0,50,IF(A316="", " ",901)))</f>
        <v>901</v>
      </c>
      <c r="P316" s="44">
        <f t="shared" si="30"/>
        <v>1</v>
      </c>
    </row>
    <row r="317" spans="1:16" x14ac:dyDescent="0.2">
      <c r="A317" s="21"/>
      <c r="B317" s="45" t="s">
        <v>191</v>
      </c>
      <c r="C317" s="35">
        <f t="shared" si="27"/>
        <v>42752</v>
      </c>
      <c r="D317" s="36">
        <f>J316</f>
        <v>2017</v>
      </c>
      <c r="E317" s="36">
        <f>K316</f>
        <v>17</v>
      </c>
      <c r="F317" s="37">
        <f>L316</f>
        <v>0.97291666666666698</v>
      </c>
      <c r="G317" s="38">
        <f>IF((L317-F317)&gt;0,K317-E317,IF((L317-F317)=0,0,K317-E317 -$F$401))</f>
        <v>0</v>
      </c>
      <c r="H317" s="37">
        <f>IF((L317-F317)&gt;0,L317-F317,IF((L317-F317)=0,0,$H$401+L317-F317))</f>
        <v>2.7777777777777568E-2</v>
      </c>
      <c r="I317" s="35">
        <f t="shared" si="28"/>
        <v>42753</v>
      </c>
      <c r="J317" s="36">
        <f>D318</f>
        <v>2017</v>
      </c>
      <c r="K317" s="36">
        <f>E318</f>
        <v>18</v>
      </c>
      <c r="L317" s="37">
        <f>F318</f>
        <v>6.9444444444444404E-4</v>
      </c>
      <c r="M317" s="41"/>
      <c r="N317" s="42"/>
      <c r="O317" s="43">
        <f>IF(VALUE(LEFT($O318,3))&lt;192,50,IF(VALUE(LEFT($O318,3))&gt;597,50,VLOOKUP(VLOOKUP(VALUE(LEFT($O318,3)),'CIRS Table Info'!$B$6:$J$425,2,FALSE),'CIRS Table Info'!$B$428:$C$431,2,FALSE)))</f>
        <v>602</v>
      </c>
      <c r="P317" s="44">
        <f t="shared" si="30"/>
        <v>1</v>
      </c>
    </row>
    <row r="318" spans="1:16" x14ac:dyDescent="0.2">
      <c r="A318" s="21">
        <v>153</v>
      </c>
      <c r="B318" s="45" t="s">
        <v>589</v>
      </c>
      <c r="C318" s="35">
        <f t="shared" si="27"/>
        <v>42753</v>
      </c>
      <c r="D318" s="39">
        <v>2017</v>
      </c>
      <c r="E318" s="40">
        <v>18</v>
      </c>
      <c r="F318" s="37">
        <v>6.9444444444444404E-4</v>
      </c>
      <c r="G318" s="38">
        <v>0</v>
      </c>
      <c r="H318" s="37">
        <v>0.62361111111111101</v>
      </c>
      <c r="I318" s="35">
        <f t="shared" si="28"/>
        <v>42753</v>
      </c>
      <c r="J318" s="47">
        <v>2017</v>
      </c>
      <c r="K318" s="36">
        <v>18</v>
      </c>
      <c r="L318" s="37">
        <v>0.624305555555556</v>
      </c>
      <c r="M318" s="41">
        <v>2000</v>
      </c>
      <c r="N318" s="42">
        <v>107.76</v>
      </c>
      <c r="O318" s="43">
        <v>572</v>
      </c>
      <c r="P318" s="44">
        <v>3</v>
      </c>
    </row>
    <row r="319" spans="1:16" x14ac:dyDescent="0.2">
      <c r="A319" s="21"/>
      <c r="B319" s="45" t="s">
        <v>192</v>
      </c>
      <c r="C319" s="35">
        <f t="shared" si="27"/>
        <v>42753</v>
      </c>
      <c r="D319" s="36">
        <f>J318</f>
        <v>2017</v>
      </c>
      <c r="E319" s="36">
        <f>K318</f>
        <v>18</v>
      </c>
      <c r="F319" s="37">
        <f>L318</f>
        <v>0.624305555555556</v>
      </c>
      <c r="G319" s="38">
        <f>IF((L319-F319)&gt;0,K319-E319,IF((L319-F319)=0,0,K319-E319 -$F$401))</f>
        <v>0</v>
      </c>
      <c r="H319" s="37">
        <f>IF((L319-F319)&gt;0,L319-F319,IF((L319-F319)=0,0,$H$401+L319-F319))</f>
        <v>0.13194444444444398</v>
      </c>
      <c r="I319" s="35">
        <f t="shared" si="28"/>
        <v>42753</v>
      </c>
      <c r="J319" s="36">
        <f>D320</f>
        <v>2017</v>
      </c>
      <c r="K319" s="36">
        <f>E320</f>
        <v>18</v>
      </c>
      <c r="L319" s="37">
        <f>F320</f>
        <v>0.75624999999999998</v>
      </c>
      <c r="M319" s="41"/>
      <c r="N319" s="42"/>
      <c r="O319" s="43">
        <f>IF(VALUE(LEFT($O320,3))&lt;192,50,IF(VALUE(LEFT($O320,3))&gt;597,50,VLOOKUP(VLOOKUP(VALUE(LEFT($O320,3)),'CIRS Table Info'!$B$6:$J$425,2,FALSE),'CIRS Table Info'!$B$428:$C$431,2,FALSE)))</f>
        <v>50</v>
      </c>
      <c r="P319" s="44">
        <f>IF(O319=50,10,1)</f>
        <v>10</v>
      </c>
    </row>
    <row r="320" spans="1:16" x14ac:dyDescent="0.2">
      <c r="A320" s="21">
        <v>154</v>
      </c>
      <c r="B320" s="45" t="s">
        <v>590</v>
      </c>
      <c r="C320" s="35">
        <f t="shared" si="27"/>
        <v>42753</v>
      </c>
      <c r="D320" s="39">
        <v>2017</v>
      </c>
      <c r="E320" s="40">
        <v>18</v>
      </c>
      <c r="F320" s="37">
        <v>0.75624999999999998</v>
      </c>
      <c r="G320" s="38">
        <v>0</v>
      </c>
      <c r="H320" s="37">
        <v>0.33333333333333298</v>
      </c>
      <c r="I320" s="35">
        <f t="shared" si="28"/>
        <v>42754</v>
      </c>
      <c r="J320" s="47">
        <v>2017</v>
      </c>
      <c r="K320" s="36">
        <v>19</v>
      </c>
      <c r="L320" s="37">
        <v>8.9583333333333307E-2</v>
      </c>
      <c r="M320" s="41">
        <v>3000</v>
      </c>
      <c r="N320" s="42">
        <v>86.4</v>
      </c>
      <c r="O320" s="43">
        <f>IF(MID(B320,6,7)="NO_DATA",50,IF(N320=0,50,IF(A320="", " ",903)))</f>
        <v>903</v>
      </c>
      <c r="P320" s="44">
        <f>IF(O320=50,10,1)</f>
        <v>1</v>
      </c>
    </row>
    <row r="321" spans="1:16" x14ac:dyDescent="0.2">
      <c r="A321" s="21"/>
      <c r="B321" s="45" t="s">
        <v>193</v>
      </c>
      <c r="C321" s="35">
        <f t="shared" si="27"/>
        <v>42754</v>
      </c>
      <c r="D321" s="36">
        <f>J320</f>
        <v>2017</v>
      </c>
      <c r="E321" s="36">
        <f>K320</f>
        <v>19</v>
      </c>
      <c r="F321" s="37">
        <f>L320</f>
        <v>8.9583333333333307E-2</v>
      </c>
      <c r="G321" s="38">
        <f>IF((L321-F321)&gt;0,K321-E321,IF((L321-F321)=0,0,K321-E321 -$F$401))</f>
        <v>0</v>
      </c>
      <c r="H321" s="37">
        <f>IF((L321-F321)&gt;0,L321-F321,IF((L321-F321)=0,0,$H$401+L321-F321))</f>
        <v>2.7777777777777693E-2</v>
      </c>
      <c r="I321" s="35">
        <f t="shared" si="28"/>
        <v>42754</v>
      </c>
      <c r="J321" s="36">
        <f>D322</f>
        <v>2017</v>
      </c>
      <c r="K321" s="36">
        <f>E322</f>
        <v>19</v>
      </c>
      <c r="L321" s="37">
        <f>F322</f>
        <v>0.117361111111111</v>
      </c>
      <c r="M321" s="41"/>
      <c r="N321" s="42"/>
      <c r="O321" s="43">
        <f>IF(VALUE(LEFT($O322,3))&lt;192,50,IF(VALUE(LEFT($O322,3))&gt;597,50,VLOOKUP(VLOOKUP(VALUE(LEFT($O322,3)),'CIRS Table Info'!$B$6:$J$425,2,FALSE),'CIRS Table Info'!$B$428:$C$431,2,FALSE)))</f>
        <v>600</v>
      </c>
      <c r="P321" s="44">
        <f>IF(O321=50,10,1)</f>
        <v>1</v>
      </c>
    </row>
    <row r="322" spans="1:16" x14ac:dyDescent="0.2">
      <c r="A322" s="21">
        <v>155</v>
      </c>
      <c r="B322" s="45" t="s">
        <v>591</v>
      </c>
      <c r="C322" s="35">
        <f t="shared" si="27"/>
        <v>42754</v>
      </c>
      <c r="D322" s="39">
        <v>2017</v>
      </c>
      <c r="E322" s="40">
        <v>19</v>
      </c>
      <c r="F322" s="37">
        <v>0.117361111111111</v>
      </c>
      <c r="G322" s="38">
        <v>0</v>
      </c>
      <c r="H322" s="37">
        <v>0.52638888888888902</v>
      </c>
      <c r="I322" s="35">
        <f t="shared" si="28"/>
        <v>42754</v>
      </c>
      <c r="J322" s="47">
        <v>2017</v>
      </c>
      <c r="K322" s="36">
        <v>19</v>
      </c>
      <c r="L322" s="37">
        <v>0.64375000000000004</v>
      </c>
      <c r="M322" s="41">
        <v>4000</v>
      </c>
      <c r="N322" s="42">
        <v>181.92</v>
      </c>
      <c r="O322" s="471" t="s">
        <v>649</v>
      </c>
      <c r="P322" s="472" t="s">
        <v>639</v>
      </c>
    </row>
    <row r="323" spans="1:16" x14ac:dyDescent="0.2">
      <c r="A323" s="21"/>
      <c r="B323" s="45" t="s">
        <v>194</v>
      </c>
      <c r="C323" s="35">
        <f t="shared" si="27"/>
        <v>42754</v>
      </c>
      <c r="D323" s="36">
        <f>J322</f>
        <v>2017</v>
      </c>
      <c r="E323" s="36">
        <f>K322</f>
        <v>19</v>
      </c>
      <c r="F323" s="37">
        <f>L322</f>
        <v>0.64375000000000004</v>
      </c>
      <c r="G323" s="38">
        <f>IF((L323-F323)&gt;0,K323-E323,IF((L323-F323)=0,0,K323-E323 -$F$401))</f>
        <v>0</v>
      </c>
      <c r="H323" s="37">
        <f>IF((L323-F323)&gt;0,L323-F323,IF((L323-F323)=0,0,$H$401+L323-F323))</f>
        <v>0.13194444444444398</v>
      </c>
      <c r="I323" s="35">
        <f t="shared" si="28"/>
        <v>42754</v>
      </c>
      <c r="J323" s="36">
        <f>D324</f>
        <v>2017</v>
      </c>
      <c r="K323" s="36">
        <f>E324</f>
        <v>19</v>
      </c>
      <c r="L323" s="37">
        <f>F324</f>
        <v>0.77569444444444402</v>
      </c>
      <c r="M323" s="41"/>
      <c r="N323" s="42"/>
      <c r="O323" s="43">
        <f>IF(VALUE(LEFT($O324,3))&lt;192,50,IF(VALUE(LEFT($O324,3))&gt;597,50,VLOOKUP(VLOOKUP(VALUE(LEFT($O324,3)),'CIRS Table Info'!$B$6:$J$425,2,FALSE),'CIRS Table Info'!$B$428:$C$431,2,FALSE)))</f>
        <v>50</v>
      </c>
      <c r="P323" s="44">
        <f>IF(O323=50,10,1)</f>
        <v>10</v>
      </c>
    </row>
    <row r="324" spans="1:16" x14ac:dyDescent="0.2">
      <c r="A324" s="21">
        <v>156</v>
      </c>
      <c r="B324" s="45" t="s">
        <v>592</v>
      </c>
      <c r="C324" s="35">
        <f t="shared" si="27"/>
        <v>42754</v>
      </c>
      <c r="D324" s="39">
        <v>2017</v>
      </c>
      <c r="E324" s="40">
        <v>19</v>
      </c>
      <c r="F324" s="37">
        <v>0.77569444444444402</v>
      </c>
      <c r="G324" s="38">
        <v>0</v>
      </c>
      <c r="H324" s="37">
        <v>0.33333333333333298</v>
      </c>
      <c r="I324" s="35">
        <f t="shared" si="28"/>
        <v>42755</v>
      </c>
      <c r="J324" s="47">
        <v>2017</v>
      </c>
      <c r="K324" s="36">
        <v>20</v>
      </c>
      <c r="L324" s="37">
        <v>0.109027777777778</v>
      </c>
      <c r="M324" s="41">
        <v>3000</v>
      </c>
      <c r="N324" s="42">
        <v>86.4</v>
      </c>
      <c r="O324" s="43">
        <f>IF(MID(B324,6,7)="NO_DATA",50,IF(N324=0,50,IF(A324="", " ",905)))</f>
        <v>905</v>
      </c>
      <c r="P324" s="44">
        <f>IF(O324=50,10,1)</f>
        <v>1</v>
      </c>
    </row>
    <row r="325" spans="1:16" x14ac:dyDescent="0.2">
      <c r="A325" s="21"/>
      <c r="B325" s="45" t="s">
        <v>195</v>
      </c>
      <c r="C325" s="35">
        <f t="shared" si="27"/>
        <v>42755</v>
      </c>
      <c r="D325" s="36">
        <f>J324</f>
        <v>2017</v>
      </c>
      <c r="E325" s="36">
        <f>K324</f>
        <v>20</v>
      </c>
      <c r="F325" s="37">
        <f>L324</f>
        <v>0.109027777777778</v>
      </c>
      <c r="G325" s="38">
        <f>IF((L325-F325)&gt;0,K325-E325,IF((L325-F325)=0,0,K325-E325 -$F$401))</f>
        <v>0</v>
      </c>
      <c r="H325" s="37">
        <f>IF((L325-F325)&gt;0,L325-F325,IF((L325-F325)=0,0,$H$401+L325-F325))</f>
        <v>0.66736111111111107</v>
      </c>
      <c r="I325" s="35">
        <f t="shared" si="28"/>
        <v>42755</v>
      </c>
      <c r="J325" s="36">
        <f>D326</f>
        <v>2017</v>
      </c>
      <c r="K325" s="36">
        <f>E326</f>
        <v>20</v>
      </c>
      <c r="L325" s="37">
        <f>F326</f>
        <v>0.77638888888888902</v>
      </c>
      <c r="M325" s="41"/>
      <c r="N325" s="42"/>
      <c r="O325" s="43">
        <f>IF(VALUE(LEFT($O326,3))&lt;192,50,IF(VALUE(LEFT($O326,3))&gt;597,50,VLOOKUP(VLOOKUP(VALUE(LEFT($O326,3)),'CIRS Table Info'!$B$6:$J$425,2,FALSE),'CIRS Table Info'!$B$428:$C$431,2,FALSE)))</f>
        <v>50</v>
      </c>
      <c r="P325" s="44">
        <f>IF(O325=50,10,1)</f>
        <v>10</v>
      </c>
    </row>
    <row r="326" spans="1:16" x14ac:dyDescent="0.2">
      <c r="A326" s="21">
        <v>157</v>
      </c>
      <c r="B326" s="45" t="s">
        <v>593</v>
      </c>
      <c r="C326" s="35">
        <f t="shared" si="27"/>
        <v>42755</v>
      </c>
      <c r="D326" s="39">
        <v>2017</v>
      </c>
      <c r="E326" s="40">
        <v>20</v>
      </c>
      <c r="F326" s="37">
        <v>0.77638888888888902</v>
      </c>
      <c r="G326" s="38">
        <v>0</v>
      </c>
      <c r="H326" s="37">
        <v>0.33333333333333298</v>
      </c>
      <c r="I326" s="35">
        <f t="shared" si="28"/>
        <v>42756</v>
      </c>
      <c r="J326" s="47">
        <v>2017</v>
      </c>
      <c r="K326" s="36">
        <v>21</v>
      </c>
      <c r="L326" s="37">
        <v>0.109722222222222</v>
      </c>
      <c r="M326" s="41">
        <v>3000</v>
      </c>
      <c r="N326" s="42">
        <v>86.4</v>
      </c>
      <c r="O326" s="43">
        <f>IF(MID(B326,6,7)="NO_DATA",50,IF(N326=0,50,IF(A326="", " ",906)))</f>
        <v>906</v>
      </c>
      <c r="P326" s="44">
        <f>IF(O326=50,10,1)</f>
        <v>1</v>
      </c>
    </row>
    <row r="327" spans="1:16" x14ac:dyDescent="0.2">
      <c r="A327" s="21"/>
      <c r="B327" s="45" t="s">
        <v>196</v>
      </c>
      <c r="C327" s="35">
        <f t="shared" si="27"/>
        <v>42756</v>
      </c>
      <c r="D327" s="36">
        <f>J326</f>
        <v>2017</v>
      </c>
      <c r="E327" s="36">
        <f>K326</f>
        <v>21</v>
      </c>
      <c r="F327" s="37">
        <f>L326</f>
        <v>0.109722222222222</v>
      </c>
      <c r="G327" s="38">
        <f>IF((L327-F327)&gt;0,K327-E327,IF((L327-F327)=0,0,K327-E327 -$F$401))</f>
        <v>0</v>
      </c>
      <c r="H327" s="37">
        <f>IF((L327-F327)&gt;0,L327-F327,IF((L327-F327)=0,0,$H$401+L327-F327))</f>
        <v>9.0277777777778012E-2</v>
      </c>
      <c r="I327" s="35">
        <f t="shared" si="28"/>
        <v>42756</v>
      </c>
      <c r="J327" s="36">
        <f>D328</f>
        <v>2017</v>
      </c>
      <c r="K327" s="36">
        <f>E328</f>
        <v>21</v>
      </c>
      <c r="L327" s="37">
        <f>F328</f>
        <v>0.2</v>
      </c>
      <c r="M327" s="41"/>
      <c r="N327" s="42"/>
      <c r="O327" s="43">
        <f>IF(VALUE(LEFT($O328,3))&lt;192,50,IF(VALUE(LEFT($O328,3))&gt;597,50,VLOOKUP(VLOOKUP(VALUE(LEFT($O328,3)),'CIRS Table Info'!$B$6:$J$425,2,FALSE),'CIRS Table Info'!$B$428:$C$431,2,FALSE)))</f>
        <v>602</v>
      </c>
      <c r="P327" s="44">
        <f>IF(O327=50,10,1)</f>
        <v>1</v>
      </c>
    </row>
    <row r="328" spans="1:16" x14ac:dyDescent="0.2">
      <c r="A328" s="21">
        <v>158</v>
      </c>
      <c r="B328" s="45" t="s">
        <v>594</v>
      </c>
      <c r="C328" s="35">
        <f t="shared" si="27"/>
        <v>42756</v>
      </c>
      <c r="D328" s="39">
        <v>2017</v>
      </c>
      <c r="E328" s="40">
        <v>21</v>
      </c>
      <c r="F328" s="37">
        <v>0.2</v>
      </c>
      <c r="G328" s="38">
        <v>0</v>
      </c>
      <c r="H328" s="37">
        <v>0.43888888888888899</v>
      </c>
      <c r="I328" s="35">
        <f t="shared" si="28"/>
        <v>42756</v>
      </c>
      <c r="J328" s="47">
        <v>2017</v>
      </c>
      <c r="K328" s="36">
        <v>21</v>
      </c>
      <c r="L328" s="37">
        <v>0.63888888888888895</v>
      </c>
      <c r="M328" s="41">
        <v>2000</v>
      </c>
      <c r="N328" s="42">
        <v>75.84</v>
      </c>
      <c r="O328" s="43">
        <v>572</v>
      </c>
      <c r="P328" s="44">
        <v>2</v>
      </c>
    </row>
    <row r="329" spans="1:16" x14ac:dyDescent="0.2">
      <c r="A329" s="21"/>
      <c r="B329" s="45" t="s">
        <v>197</v>
      </c>
      <c r="C329" s="35">
        <f t="shared" si="27"/>
        <v>42756</v>
      </c>
      <c r="D329" s="36">
        <f>J328</f>
        <v>2017</v>
      </c>
      <c r="E329" s="36">
        <f>K328</f>
        <v>21</v>
      </c>
      <c r="F329" s="37">
        <f>L328</f>
        <v>0.63888888888888895</v>
      </c>
      <c r="G329" s="38">
        <f>IF((L329-F329)&gt;0,K329-E329,IF((L329-F329)=0,0,K329-E329 -$F$401))</f>
        <v>0</v>
      </c>
      <c r="H329" s="37">
        <f>IF((L329-F329)&gt;0,L329-F329,IF((L329-F329)=0,0,$H$401+L329-F329))</f>
        <v>0.13194444444444409</v>
      </c>
      <c r="I329" s="35">
        <f t="shared" si="28"/>
        <v>42756</v>
      </c>
      <c r="J329" s="36">
        <f>D330</f>
        <v>2017</v>
      </c>
      <c r="K329" s="36">
        <f>E330</f>
        <v>21</v>
      </c>
      <c r="L329" s="37">
        <f>F330</f>
        <v>0.77083333333333304</v>
      </c>
      <c r="M329" s="41"/>
      <c r="N329" s="42"/>
      <c r="O329" s="43">
        <f>IF(VALUE(LEFT($O330,3))&lt;192,50,IF(VALUE(LEFT($O330,3))&gt;597,50,VLOOKUP(VLOOKUP(VALUE(LEFT($O330,3)),'CIRS Table Info'!$B$6:$J$425,2,FALSE),'CIRS Table Info'!$B$428:$C$431,2,FALSE)))</f>
        <v>50</v>
      </c>
      <c r="P329" s="44">
        <f>IF(O329=50,10,1)</f>
        <v>10</v>
      </c>
    </row>
    <row r="330" spans="1:16" x14ac:dyDescent="0.2">
      <c r="A330" s="21">
        <v>159</v>
      </c>
      <c r="B330" s="45" t="s">
        <v>595</v>
      </c>
      <c r="C330" s="35">
        <f t="shared" ref="C330:C393" si="31">DATE(D330,1,E330)</f>
        <v>42756</v>
      </c>
      <c r="D330" s="39">
        <v>2017</v>
      </c>
      <c r="E330" s="40">
        <v>21</v>
      </c>
      <c r="F330" s="37">
        <v>0.77083333333333304</v>
      </c>
      <c r="G330" s="38">
        <v>0</v>
      </c>
      <c r="H330" s="37">
        <v>0.33333333333333298</v>
      </c>
      <c r="I330" s="35">
        <f t="shared" si="28"/>
        <v>42757</v>
      </c>
      <c r="J330" s="47">
        <v>2017</v>
      </c>
      <c r="K330" s="36">
        <v>22</v>
      </c>
      <c r="L330" s="37">
        <v>0.104166666666667</v>
      </c>
      <c r="M330" s="41">
        <v>3000</v>
      </c>
      <c r="N330" s="42">
        <v>86.4</v>
      </c>
      <c r="O330" s="43">
        <f>IF(MID(B330,6,7)="NO_DATA",50,IF(N330=0,50,IF(A330="", " ",908)))</f>
        <v>908</v>
      </c>
      <c r="P330" s="44">
        <f>IF(O330=50,10,1)</f>
        <v>1</v>
      </c>
    </row>
    <row r="331" spans="1:16" x14ac:dyDescent="0.2">
      <c r="A331" s="21"/>
      <c r="B331" s="45" t="s">
        <v>198</v>
      </c>
      <c r="C331" s="35">
        <f t="shared" si="31"/>
        <v>42757</v>
      </c>
      <c r="D331" s="47">
        <f>J330</f>
        <v>2017</v>
      </c>
      <c r="E331" s="36">
        <f>K330</f>
        <v>22</v>
      </c>
      <c r="F331" s="37">
        <f>L330</f>
        <v>0.104166666666667</v>
      </c>
      <c r="G331" s="38">
        <f>IF((L331-F331)&gt;0,K331-E331,IF((L331-F331)=0,0,K331-E331 -$F$401))</f>
        <v>0</v>
      </c>
      <c r="H331" s="37">
        <f>IF((L331-F331)&gt;0,L331-F331,IF((L331-F331)=0,0,$H$401+L331-F331))</f>
        <v>9.0277777777776999E-2</v>
      </c>
      <c r="I331" s="35">
        <f t="shared" ref="I331:I394" si="32">DATE(J331,1,K331)</f>
        <v>42757</v>
      </c>
      <c r="J331" s="36">
        <f>D332</f>
        <v>2017</v>
      </c>
      <c r="K331" s="36">
        <f>E332</f>
        <v>22</v>
      </c>
      <c r="L331" s="37">
        <f>F332</f>
        <v>0.194444444444444</v>
      </c>
      <c r="M331" s="41"/>
      <c r="N331" s="42"/>
      <c r="O331" s="43">
        <f>IF(VALUE(LEFT($O332,3))&lt;192,50,IF(VALUE(LEFT($O332,3))&gt;597,50,VLOOKUP(VLOOKUP(VALUE(LEFT($O332,3)),'CIRS Table Info'!$B$6:$J$425,2,FALSE),'CIRS Table Info'!$B$428:$C$431,2,FALSE)))</f>
        <v>602</v>
      </c>
      <c r="P331" s="44">
        <f>IF(O331=50,10,1)</f>
        <v>1</v>
      </c>
    </row>
    <row r="332" spans="1:16" x14ac:dyDescent="0.2">
      <c r="A332" s="21">
        <v>160</v>
      </c>
      <c r="B332" s="45" t="s">
        <v>596</v>
      </c>
      <c r="C332" s="35">
        <f t="shared" si="31"/>
        <v>42757</v>
      </c>
      <c r="D332" s="39">
        <v>2017</v>
      </c>
      <c r="E332" s="40">
        <v>22</v>
      </c>
      <c r="F332" s="37">
        <v>0.194444444444444</v>
      </c>
      <c r="G332" s="38">
        <v>0</v>
      </c>
      <c r="H332" s="37">
        <v>0.36111111111111099</v>
      </c>
      <c r="I332" s="35">
        <f t="shared" si="32"/>
        <v>42757</v>
      </c>
      <c r="J332" s="47">
        <v>2017</v>
      </c>
      <c r="K332" s="36">
        <v>22</v>
      </c>
      <c r="L332" s="37">
        <v>0.55555555555555602</v>
      </c>
      <c r="M332" s="41">
        <v>2000</v>
      </c>
      <c r="N332" s="42">
        <v>62.4</v>
      </c>
      <c r="O332" s="43">
        <v>572</v>
      </c>
      <c r="P332" s="44">
        <v>2</v>
      </c>
    </row>
    <row r="333" spans="1:16" x14ac:dyDescent="0.2">
      <c r="A333" s="21"/>
      <c r="B333" s="45" t="s">
        <v>199</v>
      </c>
      <c r="C333" s="35">
        <f t="shared" si="31"/>
        <v>42757</v>
      </c>
      <c r="D333" s="36">
        <f>J332</f>
        <v>2017</v>
      </c>
      <c r="E333" s="36">
        <f>K332</f>
        <v>22</v>
      </c>
      <c r="F333" s="37">
        <f>L332</f>
        <v>0.55555555555555602</v>
      </c>
      <c r="G333" s="38">
        <f>IF((L333-F333)&gt;0,K333-E333,IF((L333-F333)=0,0,K333-E333 -$F$401))</f>
        <v>0</v>
      </c>
      <c r="H333" s="37">
        <f>IF((L333-F333)&gt;0,L333-F333,IF((L333-F333)=0,0,$H$401+L333-F333))</f>
        <v>0.13194444444444398</v>
      </c>
      <c r="I333" s="35">
        <f t="shared" si="32"/>
        <v>42757</v>
      </c>
      <c r="J333" s="36">
        <f>D334</f>
        <v>2017</v>
      </c>
      <c r="K333" s="36">
        <f>E334</f>
        <v>22</v>
      </c>
      <c r="L333" s="37">
        <f>F334</f>
        <v>0.6875</v>
      </c>
      <c r="M333" s="41"/>
      <c r="N333" s="42"/>
      <c r="O333" s="43">
        <f>IF(VALUE(LEFT($O334,3))&lt;192,50,IF(VALUE(LEFT($O334,3))&gt;597,50,VLOOKUP(VLOOKUP(VALUE(LEFT($O334,3)),'CIRS Table Info'!$B$6:$J$425,2,FALSE),'CIRS Table Info'!$B$428:$C$431,2,FALSE)))</f>
        <v>50</v>
      </c>
      <c r="P333" s="44">
        <f>IF(O333=50,10,1)</f>
        <v>10</v>
      </c>
    </row>
    <row r="334" spans="1:16" x14ac:dyDescent="0.2">
      <c r="A334" s="21">
        <v>161</v>
      </c>
      <c r="B334" s="45" t="s">
        <v>597</v>
      </c>
      <c r="C334" s="35">
        <f t="shared" si="31"/>
        <v>42757</v>
      </c>
      <c r="D334" s="39">
        <v>2017</v>
      </c>
      <c r="E334" s="40">
        <v>22</v>
      </c>
      <c r="F334" s="37">
        <v>0.6875</v>
      </c>
      <c r="G334" s="38">
        <v>0</v>
      </c>
      <c r="H334" s="37">
        <v>0.48958333333333298</v>
      </c>
      <c r="I334" s="35">
        <f t="shared" si="32"/>
        <v>42758</v>
      </c>
      <c r="J334" s="47">
        <v>2017</v>
      </c>
      <c r="K334" s="36">
        <v>23</v>
      </c>
      <c r="L334" s="37">
        <v>0.17708333333333301</v>
      </c>
      <c r="M334" s="41">
        <v>3000</v>
      </c>
      <c r="N334" s="42">
        <v>126.9</v>
      </c>
      <c r="O334" s="43">
        <f>IF(MID(B334,6,7)="NO_DATA",50,IF(N334=0,50,IF(A334="", " ",910)))</f>
        <v>910</v>
      </c>
      <c r="P334" s="44">
        <f>IF(O334=50,10,1)</f>
        <v>1</v>
      </c>
    </row>
    <row r="335" spans="1:16" x14ac:dyDescent="0.2">
      <c r="A335" s="21"/>
      <c r="B335" s="45" t="s">
        <v>200</v>
      </c>
      <c r="C335" s="35">
        <f t="shared" si="31"/>
        <v>42758</v>
      </c>
      <c r="D335" s="36">
        <f>J334</f>
        <v>2017</v>
      </c>
      <c r="E335" s="36">
        <f>K334</f>
        <v>23</v>
      </c>
      <c r="F335" s="37">
        <f>L334</f>
        <v>0.17708333333333301</v>
      </c>
      <c r="G335" s="38">
        <f>IF((L335-F335)&gt;0,K335-E335,IF((L335-F335)=0,0,K335-E335 -$F$401))</f>
        <v>0</v>
      </c>
      <c r="H335" s="37">
        <f>IF((L335-F335)&gt;0,L335-F335,IF((L335-F335)=0,0,$H$401+L335-F335))</f>
        <v>2.7777777777777984E-2</v>
      </c>
      <c r="I335" s="35">
        <f t="shared" si="32"/>
        <v>42758</v>
      </c>
      <c r="J335" s="36">
        <f>D336</f>
        <v>2017</v>
      </c>
      <c r="K335" s="36">
        <f>E336</f>
        <v>23</v>
      </c>
      <c r="L335" s="37">
        <f>F336</f>
        <v>0.20486111111111099</v>
      </c>
      <c r="M335" s="41"/>
      <c r="N335" s="42"/>
      <c r="O335" s="43">
        <f>IF(VALUE(LEFT($O336,3))&lt;192,50,IF(VALUE(LEFT($O336,3))&gt;597,50,VLOOKUP(VLOOKUP(VALUE(LEFT($O336,3)),'CIRS Table Info'!$B$6:$J$425,2,FALSE),'CIRS Table Info'!$B$428:$C$431,2,FALSE)))</f>
        <v>602</v>
      </c>
      <c r="P335" s="44">
        <f>IF(O335=50,10,1)</f>
        <v>1</v>
      </c>
    </row>
    <row r="336" spans="1:16" x14ac:dyDescent="0.2">
      <c r="A336" s="21">
        <v>162</v>
      </c>
      <c r="B336" s="45" t="s">
        <v>598</v>
      </c>
      <c r="C336" s="35">
        <f t="shared" si="31"/>
        <v>42758</v>
      </c>
      <c r="D336" s="39">
        <v>2017</v>
      </c>
      <c r="E336" s="40">
        <v>23</v>
      </c>
      <c r="F336" s="37">
        <v>0.20486111111111099</v>
      </c>
      <c r="G336" s="38">
        <v>0</v>
      </c>
      <c r="H336" s="37">
        <v>0.42361111111111099</v>
      </c>
      <c r="I336" s="35">
        <f t="shared" si="32"/>
        <v>42758</v>
      </c>
      <c r="J336" s="47">
        <v>2017</v>
      </c>
      <c r="K336" s="36">
        <v>23</v>
      </c>
      <c r="L336" s="37">
        <v>0.62847222222222199</v>
      </c>
      <c r="M336" s="41">
        <v>2000</v>
      </c>
      <c r="N336" s="42">
        <v>73.2</v>
      </c>
      <c r="O336" s="43">
        <v>572</v>
      </c>
      <c r="P336" s="44">
        <v>2</v>
      </c>
    </row>
    <row r="337" spans="1:16" x14ac:dyDescent="0.2">
      <c r="A337" s="21"/>
      <c r="B337" s="45" t="s">
        <v>201</v>
      </c>
      <c r="C337" s="35">
        <f t="shared" si="31"/>
        <v>42758</v>
      </c>
      <c r="D337" s="36">
        <f>J336</f>
        <v>2017</v>
      </c>
      <c r="E337" s="36">
        <f>K336</f>
        <v>23</v>
      </c>
      <c r="F337" s="37">
        <f>L336</f>
        <v>0.62847222222222199</v>
      </c>
      <c r="G337" s="38">
        <f>IF((L337-F337)&gt;0,K337-E337,IF((L337-F337)=0,0,K337-E337 -$F$401))</f>
        <v>0</v>
      </c>
      <c r="H337" s="37">
        <f>IF((L337-F337)&gt;0,L337-F337,IF((L337-F337)=0,0,$H$401+L337-F337))</f>
        <v>0.16666666666666696</v>
      </c>
      <c r="I337" s="35">
        <f t="shared" si="32"/>
        <v>42758</v>
      </c>
      <c r="J337" s="36">
        <f>D338</f>
        <v>2017</v>
      </c>
      <c r="K337" s="36">
        <f>E338</f>
        <v>23</v>
      </c>
      <c r="L337" s="37">
        <f>F338</f>
        <v>0.79513888888888895</v>
      </c>
      <c r="M337" s="41"/>
      <c r="N337" s="42"/>
      <c r="O337" s="43">
        <f>IF(VALUE(LEFT($O338,3))&lt;192,50,IF(VALUE(LEFT($O338,3))&gt;597,50,VLOOKUP(VLOOKUP(VALUE(LEFT($O338,3)),'CIRS Table Info'!$B$6:$J$425,2,FALSE),'CIRS Table Info'!$B$428:$C$431,2,FALSE)))</f>
        <v>602</v>
      </c>
      <c r="P337" s="44">
        <f>IF(O337=50,10,1)</f>
        <v>1</v>
      </c>
    </row>
    <row r="338" spans="1:16" x14ac:dyDescent="0.2">
      <c r="A338" s="21">
        <v>163</v>
      </c>
      <c r="B338" s="45" t="s">
        <v>599</v>
      </c>
      <c r="C338" s="35">
        <f t="shared" si="31"/>
        <v>42758</v>
      </c>
      <c r="D338" s="39">
        <v>2017</v>
      </c>
      <c r="E338" s="40">
        <v>23</v>
      </c>
      <c r="F338" s="37">
        <v>0.79513888888888895</v>
      </c>
      <c r="G338" s="38">
        <v>0</v>
      </c>
      <c r="H338" s="37">
        <v>0.327777777777778</v>
      </c>
      <c r="I338" s="35">
        <f t="shared" si="32"/>
        <v>42759</v>
      </c>
      <c r="J338" s="47">
        <v>2017</v>
      </c>
      <c r="K338" s="36">
        <v>24</v>
      </c>
      <c r="L338" s="37">
        <v>0.12291666666666699</v>
      </c>
      <c r="M338" s="41">
        <v>2000</v>
      </c>
      <c r="N338" s="42">
        <v>56.64</v>
      </c>
      <c r="O338" s="43">
        <v>572</v>
      </c>
      <c r="P338" s="44">
        <v>2</v>
      </c>
    </row>
    <row r="339" spans="1:16" x14ac:dyDescent="0.2">
      <c r="A339" s="21"/>
      <c r="B339" s="45" t="s">
        <v>202</v>
      </c>
      <c r="C339" s="35">
        <f t="shared" si="31"/>
        <v>42759</v>
      </c>
      <c r="D339" s="36">
        <f>J338</f>
        <v>2017</v>
      </c>
      <c r="E339" s="36">
        <f>K338</f>
        <v>24</v>
      </c>
      <c r="F339" s="37">
        <f>L338</f>
        <v>0.12291666666666699</v>
      </c>
      <c r="G339" s="38">
        <f>IF((L339-F339)&gt;0,K339-E339,IF((L339-F339)=0,0,K339-E339 -$F$401))</f>
        <v>0</v>
      </c>
      <c r="H339" s="37">
        <f>IF((L339-F339)&gt;0,L339-F339,IF((L339-F339)=0,0,$H$401+L339-F339))</f>
        <v>0.62708333333333299</v>
      </c>
      <c r="I339" s="35">
        <f t="shared" si="32"/>
        <v>42759</v>
      </c>
      <c r="J339" s="36">
        <f>D340</f>
        <v>2017</v>
      </c>
      <c r="K339" s="36">
        <f>E340</f>
        <v>24</v>
      </c>
      <c r="L339" s="37">
        <f>F340</f>
        <v>0.75</v>
      </c>
      <c r="M339" s="41"/>
      <c r="N339" s="42"/>
      <c r="O339" s="43">
        <f>IF(VALUE(LEFT($O340,3))&lt;192,50,IF(VALUE(LEFT($O340,3))&gt;597,50,VLOOKUP(VLOOKUP(VALUE(LEFT($O340,3)),'CIRS Table Info'!$B$6:$J$425,2,FALSE),'CIRS Table Info'!$B$428:$C$431,2,FALSE)))</f>
        <v>50</v>
      </c>
      <c r="P339" s="44">
        <f t="shared" ref="P339:P353" si="33">IF(O339=50,10,1)</f>
        <v>10</v>
      </c>
    </row>
    <row r="340" spans="1:16" x14ac:dyDescent="0.2">
      <c r="A340" s="21">
        <v>164</v>
      </c>
      <c r="B340" s="45" t="s">
        <v>600</v>
      </c>
      <c r="C340" s="35">
        <f t="shared" si="31"/>
        <v>42759</v>
      </c>
      <c r="D340" s="39">
        <v>2017</v>
      </c>
      <c r="E340" s="40">
        <v>24</v>
      </c>
      <c r="F340" s="37">
        <v>0.75</v>
      </c>
      <c r="G340" s="38">
        <v>0</v>
      </c>
      <c r="H340" s="37">
        <v>0.34375</v>
      </c>
      <c r="I340" s="35">
        <f t="shared" si="32"/>
        <v>42760</v>
      </c>
      <c r="J340" s="47">
        <v>2017</v>
      </c>
      <c r="K340" s="36">
        <v>25</v>
      </c>
      <c r="L340" s="37">
        <v>9.375E-2</v>
      </c>
      <c r="M340" s="41">
        <v>3000</v>
      </c>
      <c r="N340" s="42">
        <v>89.1</v>
      </c>
      <c r="O340" s="43">
        <f>IF(MID(B340,6,7)="NO_DATA",50,IF(N340=0,50,IF(A340="", " ",913)))</f>
        <v>913</v>
      </c>
      <c r="P340" s="44">
        <f t="shared" si="33"/>
        <v>1</v>
      </c>
    </row>
    <row r="341" spans="1:16" x14ac:dyDescent="0.2">
      <c r="A341" s="21"/>
      <c r="B341" s="45" t="s">
        <v>203</v>
      </c>
      <c r="C341" s="35">
        <f t="shared" si="31"/>
        <v>42760</v>
      </c>
      <c r="D341" s="36">
        <f>J340</f>
        <v>2017</v>
      </c>
      <c r="E341" s="36">
        <f>K340</f>
        <v>25</v>
      </c>
      <c r="F341" s="37">
        <f>L340</f>
        <v>9.375E-2</v>
      </c>
      <c r="G341" s="38">
        <f>IF((L341-F341)&gt;0,K341-E341,IF((L341-F341)=0,0,K341-E341 -$F$401))</f>
        <v>0</v>
      </c>
      <c r="H341" s="37">
        <f>IF((L341-F341)&gt;0,L341-F341,IF((L341-F341)=0,0,$H$401+L341-F341))</f>
        <v>0.41666666666666696</v>
      </c>
      <c r="I341" s="35">
        <f t="shared" si="32"/>
        <v>42760</v>
      </c>
      <c r="J341" s="36">
        <f>D342</f>
        <v>2017</v>
      </c>
      <c r="K341" s="36">
        <f>E342</f>
        <v>25</v>
      </c>
      <c r="L341" s="37">
        <f>F342</f>
        <v>0.51041666666666696</v>
      </c>
      <c r="M341" s="41"/>
      <c r="N341" s="42"/>
      <c r="O341" s="43">
        <f>IF(VALUE(LEFT($O342,3))&lt;192,50,IF(VALUE(LEFT($O342,3))&gt;597,50,VLOOKUP(VLOOKUP(VALUE(LEFT($O342,3)),'CIRS Table Info'!$B$6:$J$425,2,FALSE),'CIRS Table Info'!$B$428:$C$431,2,FALSE)))</f>
        <v>50</v>
      </c>
      <c r="P341" s="44">
        <f t="shared" si="33"/>
        <v>10</v>
      </c>
    </row>
    <row r="342" spans="1:16" x14ac:dyDescent="0.2">
      <c r="A342" s="21">
        <v>165</v>
      </c>
      <c r="B342" s="45" t="s">
        <v>601</v>
      </c>
      <c r="C342" s="35">
        <f t="shared" si="31"/>
        <v>42760</v>
      </c>
      <c r="D342" s="39">
        <v>2017</v>
      </c>
      <c r="E342" s="40">
        <v>25</v>
      </c>
      <c r="F342" s="37">
        <v>0.51041666666666696</v>
      </c>
      <c r="G342" s="38">
        <v>0</v>
      </c>
      <c r="H342" s="37">
        <v>0.3125</v>
      </c>
      <c r="I342" s="35">
        <f t="shared" si="32"/>
        <v>42760</v>
      </c>
      <c r="J342" s="47">
        <v>2017</v>
      </c>
      <c r="K342" s="36">
        <v>25</v>
      </c>
      <c r="L342" s="37">
        <v>0.82291666666666696</v>
      </c>
      <c r="M342" s="43">
        <v>3000</v>
      </c>
      <c r="N342" s="43">
        <v>81</v>
      </c>
      <c r="O342" s="43">
        <f>IF(MID(B342,6,7)="NO_DATA",50,IF(N342=0,50,IF(A342="", " ",914)))</f>
        <v>914</v>
      </c>
      <c r="P342" s="44">
        <f t="shared" si="33"/>
        <v>1</v>
      </c>
    </row>
    <row r="343" spans="1:16" x14ac:dyDescent="0.2">
      <c r="A343" s="21"/>
      <c r="B343" s="45" t="s">
        <v>204</v>
      </c>
      <c r="C343" s="35">
        <f t="shared" si="31"/>
        <v>42760</v>
      </c>
      <c r="D343" s="36">
        <f>J342</f>
        <v>2017</v>
      </c>
      <c r="E343" s="36">
        <f>K342</f>
        <v>25</v>
      </c>
      <c r="F343" s="37">
        <f>L342</f>
        <v>0.82291666666666696</v>
      </c>
      <c r="G343" s="38">
        <f>IF((L343-F343)&gt;0,K343-E343,IF((L343-F343)=0,0,K343-E343 -$F$401))</f>
        <v>0</v>
      </c>
      <c r="H343" s="37">
        <f>IF((L343-F343)&gt;0,L343-F343,IF((L343-F343)=0,0,$H$401+L343-F343))</f>
        <v>0.93819444444444411</v>
      </c>
      <c r="I343" s="35">
        <f t="shared" si="32"/>
        <v>42761</v>
      </c>
      <c r="J343" s="36">
        <f>D344</f>
        <v>2017</v>
      </c>
      <c r="K343" s="36">
        <f>E344</f>
        <v>26</v>
      </c>
      <c r="L343" s="37">
        <f>F344</f>
        <v>0.76111111111111096</v>
      </c>
      <c r="M343" s="41"/>
      <c r="N343" s="42"/>
      <c r="O343" s="43">
        <f>IF(VALUE(LEFT($O344,3))&lt;192,50,IF(VALUE(LEFT($O344,3))&gt;597,50,VLOOKUP(VLOOKUP(VALUE(LEFT($O344,3)),'CIRS Table Info'!$B$6:$J$425,2,FALSE),'CIRS Table Info'!$B$428:$C$431,2,FALSE)))</f>
        <v>50</v>
      </c>
      <c r="P343" s="44">
        <f t="shared" si="33"/>
        <v>10</v>
      </c>
    </row>
    <row r="344" spans="1:16" x14ac:dyDescent="0.2">
      <c r="A344" s="21">
        <v>166</v>
      </c>
      <c r="B344" s="45" t="s">
        <v>602</v>
      </c>
      <c r="C344" s="35">
        <f t="shared" si="31"/>
        <v>42761</v>
      </c>
      <c r="D344" s="39">
        <v>2017</v>
      </c>
      <c r="E344" s="40">
        <v>26</v>
      </c>
      <c r="F344" s="37">
        <v>0.76111111111111096</v>
      </c>
      <c r="G344" s="38">
        <v>0</v>
      </c>
      <c r="H344" s="37">
        <v>0.33333333333333298</v>
      </c>
      <c r="I344" s="35">
        <f t="shared" si="32"/>
        <v>42762</v>
      </c>
      <c r="J344" s="47">
        <v>2017</v>
      </c>
      <c r="K344" s="36">
        <v>27</v>
      </c>
      <c r="L344" s="37">
        <v>9.44444444444444E-2</v>
      </c>
      <c r="M344" s="43">
        <v>3000</v>
      </c>
      <c r="N344" s="43">
        <v>86.4</v>
      </c>
      <c r="O344" s="43">
        <f>IF(MID(B344,6,7)="NO_DATA",50,IF(N344=0,50,IF(A344="", " ",915)))</f>
        <v>915</v>
      </c>
      <c r="P344" s="44">
        <f t="shared" si="33"/>
        <v>1</v>
      </c>
    </row>
    <row r="345" spans="1:16" x14ac:dyDescent="0.2">
      <c r="A345" s="21"/>
      <c r="B345" s="45" t="s">
        <v>205</v>
      </c>
      <c r="C345" s="35">
        <f t="shared" si="31"/>
        <v>42762</v>
      </c>
      <c r="D345" s="36">
        <f>J344</f>
        <v>2017</v>
      </c>
      <c r="E345" s="36">
        <f>K344</f>
        <v>27</v>
      </c>
      <c r="F345" s="37">
        <f>L344</f>
        <v>9.44444444444444E-2</v>
      </c>
      <c r="G345" s="38">
        <f>IF((L345-F345)&gt;0,K345-E345,IF((L345-F345)=0,0,K345-E345 -$F$401))</f>
        <v>0</v>
      </c>
      <c r="H345" s="37">
        <f>IF((L345-F345)&gt;0,L345-F345,IF((L345-F345)=0,0,$H$401+L345-F345))</f>
        <v>0.66111111111111154</v>
      </c>
      <c r="I345" s="35">
        <f t="shared" si="32"/>
        <v>42762</v>
      </c>
      <c r="J345" s="36">
        <f>D346</f>
        <v>2017</v>
      </c>
      <c r="K345" s="36">
        <f>E346</f>
        <v>27</v>
      </c>
      <c r="L345" s="37">
        <f>F346</f>
        <v>0.75555555555555598</v>
      </c>
      <c r="M345" s="41"/>
      <c r="N345" s="42"/>
      <c r="O345" s="43">
        <f>IF(VALUE(LEFT($O346,3))&lt;192,50,IF(VALUE(LEFT($O346,3))&gt;597,50,VLOOKUP(VLOOKUP(VALUE(LEFT($O346,3)),'CIRS Table Info'!$B$6:$J$425,2,FALSE),'CIRS Table Info'!$B$428:$C$431,2,FALSE)))</f>
        <v>50</v>
      </c>
      <c r="P345" s="44">
        <f t="shared" si="33"/>
        <v>10</v>
      </c>
    </row>
    <row r="346" spans="1:16" x14ac:dyDescent="0.2">
      <c r="A346" s="21">
        <v>167</v>
      </c>
      <c r="B346" s="45" t="s">
        <v>603</v>
      </c>
      <c r="C346" s="35">
        <f t="shared" si="31"/>
        <v>42762</v>
      </c>
      <c r="D346" s="39">
        <v>2017</v>
      </c>
      <c r="E346" s="40">
        <v>27</v>
      </c>
      <c r="F346" s="37">
        <v>0.75555555555555598</v>
      </c>
      <c r="G346" s="38">
        <v>0</v>
      </c>
      <c r="H346" s="37">
        <v>0.33333333333333298</v>
      </c>
      <c r="I346" s="35">
        <f t="shared" si="32"/>
        <v>42763</v>
      </c>
      <c r="J346" s="47">
        <v>2017</v>
      </c>
      <c r="K346" s="36">
        <v>28</v>
      </c>
      <c r="L346" s="37">
        <v>8.8888888888888906E-2</v>
      </c>
      <c r="M346" s="43">
        <v>3000</v>
      </c>
      <c r="N346" s="43">
        <v>86.4</v>
      </c>
      <c r="O346" s="43">
        <f>IF(MID(B346,6,7)="NO_DATA",50,IF(N346=0,50,IF(A346="", " ",916)))</f>
        <v>916</v>
      </c>
      <c r="P346" s="44">
        <f t="shared" si="33"/>
        <v>1</v>
      </c>
    </row>
    <row r="347" spans="1:16" x14ac:dyDescent="0.2">
      <c r="A347" s="21"/>
      <c r="B347" s="45" t="s">
        <v>206</v>
      </c>
      <c r="C347" s="35">
        <f t="shared" si="31"/>
        <v>42763</v>
      </c>
      <c r="D347" s="36">
        <f>J346</f>
        <v>2017</v>
      </c>
      <c r="E347" s="36">
        <f>K346</f>
        <v>28</v>
      </c>
      <c r="F347" s="37">
        <f>L346</f>
        <v>8.8888888888888906E-2</v>
      </c>
      <c r="G347" s="38">
        <f>IF((L347-F347)&gt;0,K347-E347,IF((L347-F347)=0,0,K347-E347 -$F$401))</f>
        <v>0</v>
      </c>
      <c r="H347" s="37">
        <f>IF((L347-F347)&gt;0,L347-F347,IF((L347-F347)=0,0,$H$401+L347-F347))</f>
        <v>0.66666666666666707</v>
      </c>
      <c r="I347" s="35">
        <f t="shared" si="32"/>
        <v>42763</v>
      </c>
      <c r="J347" s="36">
        <f>D348</f>
        <v>2017</v>
      </c>
      <c r="K347" s="36">
        <f>E348</f>
        <v>28</v>
      </c>
      <c r="L347" s="37">
        <f>F348</f>
        <v>0.75555555555555598</v>
      </c>
      <c r="M347" s="41"/>
      <c r="N347" s="42"/>
      <c r="O347" s="43">
        <f>IF(VALUE(LEFT($O348,3))&lt;192,50,IF(VALUE(LEFT($O348,3))&gt;597,50,VLOOKUP(VLOOKUP(VALUE(LEFT($O348,3)),'CIRS Table Info'!$B$6:$J$425,2,FALSE),'CIRS Table Info'!$B$428:$C$431,2,FALSE)))</f>
        <v>50</v>
      </c>
      <c r="P347" s="44">
        <f t="shared" si="33"/>
        <v>10</v>
      </c>
    </row>
    <row r="348" spans="1:16" x14ac:dyDescent="0.2">
      <c r="A348" s="21">
        <v>168</v>
      </c>
      <c r="B348" s="45" t="s">
        <v>604</v>
      </c>
      <c r="C348" s="35">
        <f t="shared" si="31"/>
        <v>42763</v>
      </c>
      <c r="D348" s="39">
        <v>2017</v>
      </c>
      <c r="E348" s="40">
        <v>28</v>
      </c>
      <c r="F348" s="37">
        <v>0.75555555555555598</v>
      </c>
      <c r="G348" s="38">
        <v>0</v>
      </c>
      <c r="H348" s="37">
        <v>0.33333333333333298</v>
      </c>
      <c r="I348" s="35">
        <f t="shared" si="32"/>
        <v>42764</v>
      </c>
      <c r="J348" s="47">
        <v>2017</v>
      </c>
      <c r="K348" s="36">
        <v>29</v>
      </c>
      <c r="L348" s="37">
        <v>8.8888888888888906E-2</v>
      </c>
      <c r="M348" s="43">
        <v>3000</v>
      </c>
      <c r="N348" s="43">
        <v>86.4</v>
      </c>
      <c r="O348" s="43">
        <f>IF(MID(B348,6,7)="NO_DATA",50,IF(N348=0,50,IF(A348="", " ",917)))</f>
        <v>917</v>
      </c>
      <c r="P348" s="44">
        <f t="shared" si="33"/>
        <v>1</v>
      </c>
    </row>
    <row r="349" spans="1:16" x14ac:dyDescent="0.2">
      <c r="A349" s="21"/>
      <c r="B349" s="45" t="s">
        <v>297</v>
      </c>
      <c r="C349" s="35">
        <f t="shared" si="31"/>
        <v>42764</v>
      </c>
      <c r="D349" s="36">
        <f>J348</f>
        <v>2017</v>
      </c>
      <c r="E349" s="36">
        <f>K348</f>
        <v>29</v>
      </c>
      <c r="F349" s="37">
        <f>L348</f>
        <v>8.8888888888888906E-2</v>
      </c>
      <c r="G349" s="38">
        <f>IF((L349-F349)&gt;0,K349-E349,IF((L349-F349)=0,0,K349-E349 -$F$401))</f>
        <v>0</v>
      </c>
      <c r="H349" s="37">
        <f>IF((L349-F349)&gt;0,L349-F349,IF((L349-F349)=0,0,$H$401+L349-F349))</f>
        <v>0</v>
      </c>
      <c r="I349" s="35">
        <f t="shared" si="32"/>
        <v>42764</v>
      </c>
      <c r="J349" s="36">
        <f>D350</f>
        <v>2017</v>
      </c>
      <c r="K349" s="36">
        <f>E350</f>
        <v>29</v>
      </c>
      <c r="L349" s="37">
        <f>F350</f>
        <v>8.8888888888888906E-2</v>
      </c>
      <c r="M349" s="41"/>
      <c r="N349" s="42"/>
      <c r="O349" s="43">
        <f>IF(VALUE(LEFT($O350,3))&lt;192,50,IF(VALUE(LEFT($O350,3))&gt;597,50,VLOOKUP(VLOOKUP(VALUE(LEFT($O350,3)),'CIRS Table Info'!$B$6:$J$425,2,FALSE),'CIRS Table Info'!$B$428:$C$431,2,FALSE)))</f>
        <v>606</v>
      </c>
      <c r="P349" s="44">
        <f t="shared" si="33"/>
        <v>1</v>
      </c>
    </row>
    <row r="350" spans="1:16" x14ac:dyDescent="0.2">
      <c r="A350" s="21">
        <v>169</v>
      </c>
      <c r="B350" s="45" t="s">
        <v>605</v>
      </c>
      <c r="C350" s="35">
        <f t="shared" si="31"/>
        <v>42764</v>
      </c>
      <c r="D350" s="39">
        <v>2017</v>
      </c>
      <c r="E350" s="40">
        <v>29</v>
      </c>
      <c r="F350" s="37">
        <v>8.8888888888888906E-2</v>
      </c>
      <c r="G350" s="38">
        <v>0</v>
      </c>
      <c r="H350" s="37">
        <v>6.25E-2</v>
      </c>
      <c r="I350" s="35">
        <f t="shared" si="32"/>
        <v>42764</v>
      </c>
      <c r="J350" s="47">
        <v>2017</v>
      </c>
      <c r="K350" s="36">
        <v>29</v>
      </c>
      <c r="L350" s="37">
        <v>0.15138888888888899</v>
      </c>
      <c r="M350" s="43">
        <v>4000</v>
      </c>
      <c r="N350" s="43">
        <v>21.6</v>
      </c>
      <c r="O350" s="43">
        <v>341</v>
      </c>
      <c r="P350" s="44">
        <f t="shared" si="33"/>
        <v>1</v>
      </c>
    </row>
    <row r="351" spans="1:16" x14ac:dyDescent="0.2">
      <c r="A351" s="21"/>
      <c r="B351" s="45" t="s">
        <v>298</v>
      </c>
      <c r="C351" s="35">
        <f t="shared" si="31"/>
        <v>42764</v>
      </c>
      <c r="D351" s="36">
        <f>J350</f>
        <v>2017</v>
      </c>
      <c r="E351" s="36">
        <f>K350</f>
        <v>29</v>
      </c>
      <c r="F351" s="37">
        <f>L350</f>
        <v>0.15138888888888899</v>
      </c>
      <c r="G351" s="38">
        <f>IF((L351-F351)&gt;0,K351-E351,IF((L351-F351)=0,0,K351-E351 -$F$401))</f>
        <v>0</v>
      </c>
      <c r="H351" s="37">
        <f>IF((L351-F351)&gt;0,L351-F351,IF((L351-F351)=0,0,$H$401+L351-F351))</f>
        <v>0.531944444444444</v>
      </c>
      <c r="I351" s="35">
        <f t="shared" si="32"/>
        <v>42764</v>
      </c>
      <c r="J351" s="36">
        <f>D352</f>
        <v>2017</v>
      </c>
      <c r="K351" s="36">
        <f>E352</f>
        <v>29</v>
      </c>
      <c r="L351" s="37">
        <f>F352</f>
        <v>0.68333333333333302</v>
      </c>
      <c r="M351" s="41"/>
      <c r="N351" s="42"/>
      <c r="O351" s="43">
        <f>IF(VALUE(LEFT($O352,3))&lt;192,50,IF(VALUE(LEFT($O352,3))&gt;597,50,VLOOKUP(VLOOKUP(VALUE(LEFT($O352,3)),'CIRS Table Info'!$B$6:$J$425,2,FALSE),'CIRS Table Info'!$B$428:$C$431,2,FALSE)))</f>
        <v>50</v>
      </c>
      <c r="P351" s="44">
        <f t="shared" si="33"/>
        <v>10</v>
      </c>
    </row>
    <row r="352" spans="1:16" x14ac:dyDescent="0.2">
      <c r="A352" s="21">
        <v>170</v>
      </c>
      <c r="B352" s="45" t="s">
        <v>606</v>
      </c>
      <c r="C352" s="35">
        <f t="shared" si="31"/>
        <v>42764</v>
      </c>
      <c r="D352" s="39">
        <v>2017</v>
      </c>
      <c r="E352" s="40">
        <v>29</v>
      </c>
      <c r="F352" s="37">
        <v>0.68333333333333302</v>
      </c>
      <c r="G352" s="38">
        <v>0</v>
      </c>
      <c r="H352" s="37">
        <v>0.468055555555556</v>
      </c>
      <c r="I352" s="35">
        <f t="shared" si="32"/>
        <v>42765</v>
      </c>
      <c r="J352" s="47">
        <v>2017</v>
      </c>
      <c r="K352" s="36">
        <v>30</v>
      </c>
      <c r="L352" s="37">
        <v>0.15138888888888899</v>
      </c>
      <c r="M352" s="43">
        <v>3000</v>
      </c>
      <c r="N352" s="43">
        <v>121.32</v>
      </c>
      <c r="O352" s="43">
        <f>IF(MID(B352,6,7)="NO_DATA",50,IF(N352=0,50,IF(A352="", " ",919)))</f>
        <v>919</v>
      </c>
      <c r="P352" s="44">
        <f t="shared" si="33"/>
        <v>1</v>
      </c>
    </row>
    <row r="353" spans="1:16" x14ac:dyDescent="0.2">
      <c r="A353" s="21"/>
      <c r="B353" s="45" t="s">
        <v>299</v>
      </c>
      <c r="C353" s="35">
        <f t="shared" si="31"/>
        <v>42765</v>
      </c>
      <c r="D353" s="36">
        <f>J352</f>
        <v>2017</v>
      </c>
      <c r="E353" s="36">
        <f>K352</f>
        <v>30</v>
      </c>
      <c r="F353" s="37">
        <f>L352</f>
        <v>0.15138888888888899</v>
      </c>
      <c r="G353" s="38">
        <f>IF((L353-F353)&gt;0,K353-E353,IF((L353-F353)=0,0,K353-E353 -$F$401))</f>
        <v>0</v>
      </c>
      <c r="H353" s="37">
        <f>IF((L353-F353)&gt;0,L353-F353,IF((L353-F353)=0,0,$H$401+L353-F353))</f>
        <v>0</v>
      </c>
      <c r="I353" s="35">
        <f t="shared" si="32"/>
        <v>42765</v>
      </c>
      <c r="J353" s="36">
        <f>D354</f>
        <v>2017</v>
      </c>
      <c r="K353" s="36">
        <f>E354</f>
        <v>30</v>
      </c>
      <c r="L353" s="37">
        <f>F354</f>
        <v>0.15138888888888899</v>
      </c>
      <c r="M353" s="41"/>
      <c r="N353" s="42"/>
      <c r="O353" s="43">
        <f>IF(VALUE(LEFT($O354,3))&lt;192,50,IF(VALUE(LEFT($O354,3))&gt;597,50,VLOOKUP(VLOOKUP(VALUE(LEFT($O354,3)),'CIRS Table Info'!$B$6:$J$425,2,FALSE),'CIRS Table Info'!$B$428:$C$431,2,FALSE)))</f>
        <v>600</v>
      </c>
      <c r="P353" s="44">
        <f t="shared" si="33"/>
        <v>1</v>
      </c>
    </row>
    <row r="354" spans="1:16" x14ac:dyDescent="0.2">
      <c r="A354" s="21">
        <v>171</v>
      </c>
      <c r="B354" s="45" t="s">
        <v>607</v>
      </c>
      <c r="C354" s="35">
        <f t="shared" si="31"/>
        <v>42765</v>
      </c>
      <c r="D354" s="39">
        <v>2017</v>
      </c>
      <c r="E354" s="40">
        <v>30</v>
      </c>
      <c r="F354" s="37">
        <v>0.15138888888888899</v>
      </c>
      <c r="G354" s="38">
        <v>0</v>
      </c>
      <c r="H354" s="37">
        <v>0.11111111111111099</v>
      </c>
      <c r="I354" s="35">
        <f t="shared" si="32"/>
        <v>42765</v>
      </c>
      <c r="J354" s="47">
        <v>2017</v>
      </c>
      <c r="K354" s="36">
        <v>30</v>
      </c>
      <c r="L354" s="37">
        <v>0.26250000000000001</v>
      </c>
      <c r="M354" s="43">
        <v>4000</v>
      </c>
      <c r="N354" s="43">
        <v>38.4</v>
      </c>
      <c r="O354" s="43">
        <v>405</v>
      </c>
      <c r="P354" s="44">
        <v>2</v>
      </c>
    </row>
    <row r="355" spans="1:16" x14ac:dyDescent="0.2">
      <c r="A355" s="21"/>
      <c r="B355" s="45" t="s">
        <v>300</v>
      </c>
      <c r="C355" s="35">
        <f t="shared" si="31"/>
        <v>42765</v>
      </c>
      <c r="D355" s="36">
        <f>J354</f>
        <v>2017</v>
      </c>
      <c r="E355" s="36">
        <f>K354</f>
        <v>30</v>
      </c>
      <c r="F355" s="37">
        <f>L354</f>
        <v>0.26250000000000001</v>
      </c>
      <c r="G355" s="38">
        <f>IF((L355-F355)&gt;0,K355-E355,IF((L355-F355)=0,0,K355-E355 -$F$401))</f>
        <v>0</v>
      </c>
      <c r="H355" s="37">
        <f>IF((L355-F355)&gt;0,L355-F355,IF((L355-F355)=0,0,$H$401+L355-F355))</f>
        <v>0</v>
      </c>
      <c r="I355" s="35">
        <f t="shared" si="32"/>
        <v>42765</v>
      </c>
      <c r="J355" s="36">
        <f>D356</f>
        <v>2017</v>
      </c>
      <c r="K355" s="36">
        <f>E356</f>
        <v>30</v>
      </c>
      <c r="L355" s="37">
        <f>F356</f>
        <v>0.26250000000000001</v>
      </c>
      <c r="M355" s="41"/>
      <c r="N355" s="42"/>
      <c r="O355" s="43">
        <f>IF(VALUE(LEFT($O356,3))&lt;192,50,IF(VALUE(LEFT($O356,3))&gt;597,50,VLOOKUP(VLOOKUP(VALUE(LEFT($O356,3)),'CIRS Table Info'!$B$6:$J$425,2,FALSE),'CIRS Table Info'!$B$428:$C$431,2,FALSE)))</f>
        <v>600</v>
      </c>
      <c r="P355" s="44">
        <f>IF(O355=50,10,1)</f>
        <v>1</v>
      </c>
    </row>
    <row r="356" spans="1:16" x14ac:dyDescent="0.2">
      <c r="A356" s="21">
        <v>172</v>
      </c>
      <c r="B356" s="45" t="s">
        <v>608</v>
      </c>
      <c r="C356" s="35">
        <f t="shared" si="31"/>
        <v>42765</v>
      </c>
      <c r="D356" s="39">
        <v>2017</v>
      </c>
      <c r="E356" s="40">
        <v>30</v>
      </c>
      <c r="F356" s="37">
        <v>0.26250000000000001</v>
      </c>
      <c r="G356" s="38">
        <v>0</v>
      </c>
      <c r="H356" s="37">
        <v>6.0416666666666702E-2</v>
      </c>
      <c r="I356" s="35">
        <f t="shared" si="32"/>
        <v>42765</v>
      </c>
      <c r="J356" s="47">
        <v>2017</v>
      </c>
      <c r="K356" s="36">
        <v>30</v>
      </c>
      <c r="L356" s="37">
        <v>0.32291666666666702</v>
      </c>
      <c r="M356" s="43">
        <v>4000</v>
      </c>
      <c r="N356" s="43">
        <v>20.88</v>
      </c>
      <c r="O356" s="43">
        <v>405</v>
      </c>
      <c r="P356" s="44">
        <v>1</v>
      </c>
    </row>
    <row r="357" spans="1:16" x14ac:dyDescent="0.2">
      <c r="A357" s="21"/>
      <c r="B357" s="45" t="s">
        <v>301</v>
      </c>
      <c r="C357" s="35">
        <f t="shared" si="31"/>
        <v>42765</v>
      </c>
      <c r="D357" s="36">
        <f>J356</f>
        <v>2017</v>
      </c>
      <c r="E357" s="36">
        <f>K356</f>
        <v>30</v>
      </c>
      <c r="F357" s="37">
        <f>L356</f>
        <v>0.32291666666666702</v>
      </c>
      <c r="G357" s="38">
        <f>IF((L357-F357)&gt;0,K357-E357,IF((L357-F357)=0,0,K357-E357 -$F$401))</f>
        <v>0</v>
      </c>
      <c r="H357" s="37">
        <f>IF((L357-F357)&gt;0,L357-F357,IF((L357-F357)=0,0,$H$401+L357-F357))</f>
        <v>0</v>
      </c>
      <c r="I357" s="35">
        <f t="shared" si="32"/>
        <v>42765</v>
      </c>
      <c r="J357" s="36">
        <f>D358</f>
        <v>2017</v>
      </c>
      <c r="K357" s="36">
        <f>E358</f>
        <v>30</v>
      </c>
      <c r="L357" s="37">
        <f>F358</f>
        <v>0.32291666666666702</v>
      </c>
      <c r="M357" s="41"/>
      <c r="N357" s="42"/>
      <c r="O357" s="43">
        <f>IF(VALUE(LEFT($O358,3))&lt;192,50,IF(VALUE(LEFT($O358,3))&gt;597,50,VLOOKUP(VLOOKUP(VALUE(LEFT($O358,3)),'CIRS Table Info'!$B$6:$J$425,2,FALSE),'CIRS Table Info'!$B$428:$C$431,2,FALSE)))</f>
        <v>602</v>
      </c>
      <c r="P357" s="44">
        <f>IF(O357=50,10,1)</f>
        <v>1</v>
      </c>
    </row>
    <row r="358" spans="1:16" x14ac:dyDescent="0.2">
      <c r="A358" s="21">
        <v>173</v>
      </c>
      <c r="B358" s="45" t="s">
        <v>609</v>
      </c>
      <c r="C358" s="35">
        <f t="shared" si="31"/>
        <v>42765</v>
      </c>
      <c r="D358" s="39">
        <v>2017</v>
      </c>
      <c r="E358" s="40">
        <v>30</v>
      </c>
      <c r="F358" s="37">
        <v>0.32291666666666702</v>
      </c>
      <c r="G358" s="38">
        <v>0</v>
      </c>
      <c r="H358" s="37">
        <v>0.45833333333333298</v>
      </c>
      <c r="I358" s="35">
        <f t="shared" si="32"/>
        <v>42765</v>
      </c>
      <c r="J358" s="47">
        <v>2017</v>
      </c>
      <c r="K358" s="36">
        <v>30</v>
      </c>
      <c r="L358" s="37">
        <v>0.78125</v>
      </c>
      <c r="M358" s="43">
        <v>2000</v>
      </c>
      <c r="N358" s="43">
        <v>79.2</v>
      </c>
      <c r="O358" s="43">
        <v>572</v>
      </c>
      <c r="P358" s="44">
        <v>2</v>
      </c>
    </row>
    <row r="359" spans="1:16" x14ac:dyDescent="0.2">
      <c r="A359" s="21"/>
      <c r="B359" s="45" t="s">
        <v>302</v>
      </c>
      <c r="C359" s="35">
        <f t="shared" si="31"/>
        <v>42765</v>
      </c>
      <c r="D359" s="36">
        <f>J358</f>
        <v>2017</v>
      </c>
      <c r="E359" s="36">
        <f>K358</f>
        <v>30</v>
      </c>
      <c r="F359" s="37">
        <f>L358</f>
        <v>0.78125</v>
      </c>
      <c r="G359" s="38">
        <f>IF((L359-F359)&gt;0,K359-E359,IF((L359-F359)=0,0,K359-E359 -$F$401))</f>
        <v>0</v>
      </c>
      <c r="H359" s="37">
        <f>IF((L359-F359)&gt;0,L359-F359,IF((L359-F359)=0,0,$H$401+L359-F359))</f>
        <v>0</v>
      </c>
      <c r="I359" s="35">
        <f t="shared" si="32"/>
        <v>42765</v>
      </c>
      <c r="J359" s="36">
        <f>D360</f>
        <v>2017</v>
      </c>
      <c r="K359" s="36">
        <f>E360</f>
        <v>30</v>
      </c>
      <c r="L359" s="37">
        <f>F360</f>
        <v>0.78125</v>
      </c>
      <c r="M359" s="41"/>
      <c r="N359" s="42"/>
      <c r="O359" s="43">
        <f>IF(VALUE(LEFT($O360,3))&lt;192,50,IF(VALUE(LEFT($O360,3))&gt;597,50,VLOOKUP(VLOOKUP(VALUE(LEFT($O360,3)),'CIRS Table Info'!$B$6:$J$425,2,FALSE),'CIRS Table Info'!$B$428:$C$431,2,FALSE)))</f>
        <v>600</v>
      </c>
      <c r="P359" s="44">
        <f>IF(O359=50,10,1)</f>
        <v>1</v>
      </c>
    </row>
    <row r="360" spans="1:16" x14ac:dyDescent="0.2">
      <c r="A360" s="21">
        <v>174</v>
      </c>
      <c r="B360" s="45" t="s">
        <v>610</v>
      </c>
      <c r="C360" s="35">
        <f t="shared" si="31"/>
        <v>42765</v>
      </c>
      <c r="D360" s="39">
        <v>2017</v>
      </c>
      <c r="E360" s="40">
        <v>30</v>
      </c>
      <c r="F360" s="37">
        <v>0.78125</v>
      </c>
      <c r="G360" s="38">
        <v>0</v>
      </c>
      <c r="H360" s="37">
        <v>2.5694444444444402E-2</v>
      </c>
      <c r="I360" s="35">
        <f t="shared" si="32"/>
        <v>42765</v>
      </c>
      <c r="J360" s="47">
        <v>2017</v>
      </c>
      <c r="K360" s="36">
        <v>30</v>
      </c>
      <c r="L360" s="37">
        <v>0.80694444444444402</v>
      </c>
      <c r="M360" s="43">
        <v>4000</v>
      </c>
      <c r="N360" s="43">
        <v>8.8800000000000008</v>
      </c>
      <c r="O360" s="43">
        <v>355</v>
      </c>
      <c r="P360" s="44">
        <v>1</v>
      </c>
    </row>
    <row r="361" spans="1:16" x14ac:dyDescent="0.2">
      <c r="A361" s="21"/>
      <c r="B361" s="45" t="s">
        <v>650</v>
      </c>
      <c r="C361" s="35">
        <f t="shared" si="31"/>
        <v>42765</v>
      </c>
      <c r="D361" s="36">
        <f>J360</f>
        <v>2017</v>
      </c>
      <c r="E361" s="36">
        <f>K360</f>
        <v>30</v>
      </c>
      <c r="F361" s="37">
        <f>L360</f>
        <v>0.80694444444444402</v>
      </c>
      <c r="G361" s="38">
        <f>IF((L361-F361)&gt;0,K361-E361,IF((L361-F361)=0,0,K361-E361 -$F$401))</f>
        <v>0</v>
      </c>
      <c r="H361" s="37">
        <f>IF((L361-F361)&gt;0,L361-F361,IF((L361-F361)=0,0,$H$401+L361-F361))</f>
        <v>0</v>
      </c>
      <c r="I361" s="35">
        <f t="shared" si="32"/>
        <v>42765</v>
      </c>
      <c r="J361" s="36">
        <f>D362</f>
        <v>2017</v>
      </c>
      <c r="K361" s="36">
        <f>E362</f>
        <v>30</v>
      </c>
      <c r="L361" s="37">
        <f>F362</f>
        <v>0.80694444444444402</v>
      </c>
      <c r="M361" s="41"/>
      <c r="N361" s="42"/>
      <c r="O361" s="43">
        <f>IF(VALUE(LEFT($O362,3))&lt;192,50,IF(VALUE(LEFT($O362,3))&gt;597,50,VLOOKUP(VLOOKUP(VALUE(LEFT($O362,3)),'CIRS Table Info'!$B$6:$J$425,2,FALSE),'CIRS Table Info'!$B$428:$C$431,2,FALSE)))</f>
        <v>600</v>
      </c>
      <c r="P361" s="44">
        <f>IF(O361=50,10,1)</f>
        <v>1</v>
      </c>
    </row>
    <row r="362" spans="1:16" x14ac:dyDescent="0.2">
      <c r="A362" s="21">
        <v>175</v>
      </c>
      <c r="B362" s="45" t="s">
        <v>611</v>
      </c>
      <c r="C362" s="35">
        <f t="shared" si="31"/>
        <v>42765</v>
      </c>
      <c r="D362" s="39">
        <v>2017</v>
      </c>
      <c r="E362" s="40">
        <v>30</v>
      </c>
      <c r="F362" s="37">
        <v>0.80694444444444402</v>
      </c>
      <c r="G362" s="38">
        <v>0</v>
      </c>
      <c r="H362" s="37">
        <v>7.6388888888888895E-2</v>
      </c>
      <c r="I362" s="35">
        <f t="shared" si="32"/>
        <v>42765</v>
      </c>
      <c r="J362" s="47">
        <v>2017</v>
      </c>
      <c r="K362" s="36">
        <v>30</v>
      </c>
      <c r="L362" s="37">
        <v>0.88333333333333297</v>
      </c>
      <c r="M362" s="43">
        <v>4000</v>
      </c>
      <c r="N362" s="43">
        <v>26.4</v>
      </c>
      <c r="O362" s="43">
        <v>405</v>
      </c>
      <c r="P362" s="44">
        <v>2</v>
      </c>
    </row>
    <row r="363" spans="1:16" x14ac:dyDescent="0.2">
      <c r="A363" s="21"/>
      <c r="B363" s="45" t="s">
        <v>651</v>
      </c>
      <c r="C363" s="35">
        <f t="shared" si="31"/>
        <v>42765</v>
      </c>
      <c r="D363" s="36">
        <f>J362</f>
        <v>2017</v>
      </c>
      <c r="E363" s="36">
        <f>K362</f>
        <v>30</v>
      </c>
      <c r="F363" s="37">
        <f>L362</f>
        <v>0.88333333333333297</v>
      </c>
      <c r="G363" s="38">
        <f>IF((L363-F363)&gt;0,K363-E363,IF((L363-F363)=0,0,K363-E363 -$F$401))</f>
        <v>0</v>
      </c>
      <c r="H363" s="37">
        <f>IF((L363-F363)&gt;0,L363-F363,IF((L363-F363)=0,0,$H$401+L363-F363))</f>
        <v>0</v>
      </c>
      <c r="I363" s="35">
        <f t="shared" si="32"/>
        <v>42765</v>
      </c>
      <c r="J363" s="36">
        <f>D364</f>
        <v>2017</v>
      </c>
      <c r="K363" s="36">
        <f>E364</f>
        <v>30</v>
      </c>
      <c r="L363" s="37">
        <f>F364</f>
        <v>0.88333333333333297</v>
      </c>
      <c r="M363" s="41"/>
      <c r="N363" s="42"/>
      <c r="O363" s="43">
        <f>IF(VALUE(LEFT($O364,3))&lt;192,50,IF(VALUE(LEFT($O364,3))&gt;597,50,VLOOKUP(VLOOKUP(VALUE(LEFT($O364,3)),'CIRS Table Info'!$B$6:$J$425,2,FALSE),'CIRS Table Info'!$B$428:$C$431,2,FALSE)))</f>
        <v>600</v>
      </c>
      <c r="P363" s="44">
        <f>IF(O363=50,10,1)</f>
        <v>1</v>
      </c>
    </row>
    <row r="364" spans="1:16" x14ac:dyDescent="0.2">
      <c r="A364" s="21">
        <v>176</v>
      </c>
      <c r="B364" s="45" t="s">
        <v>612</v>
      </c>
      <c r="C364" s="35">
        <f t="shared" si="31"/>
        <v>42765</v>
      </c>
      <c r="D364" s="39">
        <v>2017</v>
      </c>
      <c r="E364" s="40">
        <v>30</v>
      </c>
      <c r="F364" s="37">
        <v>0.88333333333333297</v>
      </c>
      <c r="G364" s="38">
        <v>0</v>
      </c>
      <c r="H364" s="37">
        <v>8.8888888888888906E-2</v>
      </c>
      <c r="I364" s="35">
        <f t="shared" si="32"/>
        <v>42765</v>
      </c>
      <c r="J364" s="47">
        <v>2017</v>
      </c>
      <c r="K364" s="36">
        <v>30</v>
      </c>
      <c r="L364" s="37">
        <v>0.97222222222222199</v>
      </c>
      <c r="M364" s="43">
        <v>4000</v>
      </c>
      <c r="N364" s="43">
        <v>30.72</v>
      </c>
      <c r="O364" s="43">
        <v>405</v>
      </c>
      <c r="P364" s="44">
        <v>2</v>
      </c>
    </row>
    <row r="365" spans="1:16" x14ac:dyDescent="0.2">
      <c r="A365" s="21"/>
      <c r="B365" s="45" t="s">
        <v>652</v>
      </c>
      <c r="C365" s="35">
        <f t="shared" si="31"/>
        <v>42765</v>
      </c>
      <c r="D365" s="36">
        <f>J364</f>
        <v>2017</v>
      </c>
      <c r="E365" s="36">
        <f>K364</f>
        <v>30</v>
      </c>
      <c r="F365" s="37">
        <f>L364</f>
        <v>0.97222222222222199</v>
      </c>
      <c r="G365" s="38">
        <f>IF((L365-F365)&gt;0,K365-E365,IF((L365-F365)=0,0,K365-E365 -$F$401))</f>
        <v>0</v>
      </c>
      <c r="H365" s="37">
        <f>IF((L365-F365)&gt;0,L365-F365,IF((L365-F365)=0,0,$H$401+L365-F365))</f>
        <v>0</v>
      </c>
      <c r="I365" s="35">
        <f t="shared" si="32"/>
        <v>42765</v>
      </c>
      <c r="J365" s="36">
        <f>D366</f>
        <v>2017</v>
      </c>
      <c r="K365" s="36">
        <f>E366</f>
        <v>30</v>
      </c>
      <c r="L365" s="37">
        <f>F366</f>
        <v>0.97222222222222199</v>
      </c>
      <c r="M365" s="41"/>
      <c r="N365" s="42"/>
      <c r="O365" s="43">
        <f>IF(VALUE(LEFT($O366,3))&lt;192,50,IF(VALUE(LEFT($O366,3))&gt;597,50,VLOOKUP(VLOOKUP(VALUE(LEFT($O366,3)),'CIRS Table Info'!$B$6:$J$425,2,FALSE),'CIRS Table Info'!$B$428:$C$431,2,FALSE)))</f>
        <v>50</v>
      </c>
      <c r="P365" s="44">
        <f t="shared" ref="P365:P375" si="34">IF(O365=50,10,1)</f>
        <v>10</v>
      </c>
    </row>
    <row r="366" spans="1:16" x14ac:dyDescent="0.2">
      <c r="A366" s="21">
        <v>177</v>
      </c>
      <c r="B366" s="45" t="s">
        <v>613</v>
      </c>
      <c r="C366" s="35">
        <f t="shared" si="31"/>
        <v>42765</v>
      </c>
      <c r="D366" s="39">
        <v>2017</v>
      </c>
      <c r="E366" s="40">
        <v>30</v>
      </c>
      <c r="F366" s="37">
        <v>0.97222222222222199</v>
      </c>
      <c r="G366" s="38">
        <v>0</v>
      </c>
      <c r="H366" s="37">
        <v>0.36111111111111099</v>
      </c>
      <c r="I366" s="35">
        <f t="shared" si="32"/>
        <v>42766</v>
      </c>
      <c r="J366" s="47">
        <v>2017</v>
      </c>
      <c r="K366" s="36">
        <v>31</v>
      </c>
      <c r="L366" s="37">
        <v>0.33333333333333298</v>
      </c>
      <c r="M366" s="43">
        <v>4000</v>
      </c>
      <c r="N366" s="43">
        <v>124.8</v>
      </c>
      <c r="O366" s="43">
        <f>IF(MID(B366,6,7)="NO_DATA",50,IF(N366=0,50,IF(A366="", " ",926)))</f>
        <v>926</v>
      </c>
      <c r="P366" s="44">
        <f t="shared" si="34"/>
        <v>1</v>
      </c>
    </row>
    <row r="367" spans="1:16" x14ac:dyDescent="0.2">
      <c r="A367" s="21"/>
      <c r="B367" s="45" t="s">
        <v>653</v>
      </c>
      <c r="C367" s="35">
        <f t="shared" si="31"/>
        <v>42766</v>
      </c>
      <c r="D367" s="36">
        <f>J366</f>
        <v>2017</v>
      </c>
      <c r="E367" s="36">
        <f>K366</f>
        <v>31</v>
      </c>
      <c r="F367" s="37">
        <f>L366</f>
        <v>0.33333333333333298</v>
      </c>
      <c r="G367" s="38">
        <f>IF((L367-F367)&gt;0,K367-E367,IF((L367-F367)=0,0,K367-E367 -$F$401))</f>
        <v>0</v>
      </c>
      <c r="H367" s="37">
        <f>IF((L367-F367)&gt;0,L367-F367,IF((L367-F367)=0,0,$H$401+L367-F367))</f>
        <v>5.2777777777778034E-2</v>
      </c>
      <c r="I367" s="35">
        <f t="shared" si="32"/>
        <v>42766</v>
      </c>
      <c r="J367" s="36">
        <f>D368</f>
        <v>2017</v>
      </c>
      <c r="K367" s="36">
        <f>E368</f>
        <v>31</v>
      </c>
      <c r="L367" s="37">
        <f>F368</f>
        <v>0.38611111111111102</v>
      </c>
      <c r="M367" s="41"/>
      <c r="N367" s="42"/>
      <c r="O367" s="43">
        <f>IF(VALUE(LEFT($O368,3))&lt;192,50,IF(VALUE(LEFT($O368,3))&gt;597,50,VLOOKUP(VLOOKUP(VALUE(LEFT($O368,3)),'CIRS Table Info'!$B$6:$J$425,2,FALSE),'CIRS Table Info'!$B$428:$C$431,2,FALSE)))</f>
        <v>50</v>
      </c>
      <c r="P367" s="44">
        <f t="shared" si="34"/>
        <v>10</v>
      </c>
    </row>
    <row r="368" spans="1:16" x14ac:dyDescent="0.2">
      <c r="A368" s="21">
        <v>178</v>
      </c>
      <c r="B368" s="45" t="s">
        <v>616</v>
      </c>
      <c r="C368" s="35">
        <f t="shared" si="31"/>
        <v>42766</v>
      </c>
      <c r="D368" s="39">
        <v>2017</v>
      </c>
      <c r="E368" s="40">
        <v>31</v>
      </c>
      <c r="F368" s="37">
        <v>0.38611111111111102</v>
      </c>
      <c r="G368" s="38">
        <v>0</v>
      </c>
      <c r="H368" s="37">
        <v>8.3333333333333301E-2</v>
      </c>
      <c r="I368" s="35">
        <f t="shared" si="32"/>
        <v>42766</v>
      </c>
      <c r="J368" s="47">
        <v>2017</v>
      </c>
      <c r="K368" s="36">
        <v>31</v>
      </c>
      <c r="L368" s="37">
        <v>0.469444444444444</v>
      </c>
      <c r="M368" s="43">
        <v>3000</v>
      </c>
      <c r="N368" s="43">
        <v>21.6</v>
      </c>
      <c r="O368" s="43">
        <f>IF(MID(B368,6,7)="NO_DATA",50,IF(N368=0,50,IF(A368="", " ",927)))</f>
        <v>927</v>
      </c>
      <c r="P368" s="44">
        <f t="shared" si="34"/>
        <v>1</v>
      </c>
    </row>
    <row r="369" spans="1:17" x14ac:dyDescent="0.2">
      <c r="A369" s="21"/>
      <c r="B369" s="45" t="s">
        <v>654</v>
      </c>
      <c r="C369" s="35">
        <f t="shared" si="31"/>
        <v>42766</v>
      </c>
      <c r="D369" s="36">
        <f>J368</f>
        <v>2017</v>
      </c>
      <c r="E369" s="36">
        <f>K368</f>
        <v>31</v>
      </c>
      <c r="F369" s="37">
        <f>L368</f>
        <v>0.469444444444444</v>
      </c>
      <c r="G369" s="38">
        <f>IF((L369-F369)&gt;0,K369-E369,IF((L369-F369)=0,0,K369-E369 -$F$401))</f>
        <v>0</v>
      </c>
      <c r="H369" s="37">
        <f>IF((L369-F369)&gt;0,L369-F369,IF((L369-F369)=0,0,$H$401+L369-F369))</f>
        <v>0</v>
      </c>
      <c r="I369" s="35">
        <f t="shared" si="32"/>
        <v>42766</v>
      </c>
      <c r="J369" s="36">
        <f>D370</f>
        <v>2017</v>
      </c>
      <c r="K369" s="36">
        <f>E370</f>
        <v>31</v>
      </c>
      <c r="L369" s="37">
        <f>F370</f>
        <v>0.469444444444444</v>
      </c>
      <c r="M369" s="41"/>
      <c r="N369" s="42"/>
      <c r="O369" s="43">
        <f>IF(VALUE(LEFT($O370,3))&lt;192,50,IF(VALUE(LEFT($O370,3))&gt;597,50,VLOOKUP(VLOOKUP(VALUE(LEFT($O370,3)),'CIRS Table Info'!$B$6:$J$425,2,FALSE),'CIRS Table Info'!$B$428:$C$431,2,FALSE)))</f>
        <v>602</v>
      </c>
      <c r="P369" s="44">
        <f t="shared" si="34"/>
        <v>1</v>
      </c>
    </row>
    <row r="370" spans="1:17" x14ac:dyDescent="0.2">
      <c r="A370" s="21">
        <v>179</v>
      </c>
      <c r="B370" s="45" t="s">
        <v>617</v>
      </c>
      <c r="C370" s="35">
        <f t="shared" si="31"/>
        <v>42766</v>
      </c>
      <c r="D370" s="39">
        <v>2017</v>
      </c>
      <c r="E370" s="40">
        <v>31</v>
      </c>
      <c r="F370" s="37">
        <v>0.469444444444444</v>
      </c>
      <c r="G370" s="38">
        <v>0</v>
      </c>
      <c r="H370" s="37">
        <v>0.20833333333333301</v>
      </c>
      <c r="I370" s="35">
        <f t="shared" si="32"/>
        <v>42766</v>
      </c>
      <c r="J370" s="47">
        <v>2017</v>
      </c>
      <c r="K370" s="36">
        <v>31</v>
      </c>
      <c r="L370" s="37">
        <v>0.67777777777777803</v>
      </c>
      <c r="M370" s="43">
        <v>2200</v>
      </c>
      <c r="N370" s="43">
        <v>39.6</v>
      </c>
      <c r="O370" s="512" t="s">
        <v>686</v>
      </c>
      <c r="P370" s="44">
        <f t="shared" si="34"/>
        <v>1</v>
      </c>
    </row>
    <row r="371" spans="1:17" x14ac:dyDescent="0.2">
      <c r="A371" s="21"/>
      <c r="B371" s="45" t="s">
        <v>655</v>
      </c>
      <c r="C371" s="35">
        <f t="shared" si="31"/>
        <v>42766</v>
      </c>
      <c r="D371" s="36">
        <f>J370</f>
        <v>2017</v>
      </c>
      <c r="E371" s="36">
        <f>K370</f>
        <v>31</v>
      </c>
      <c r="F371" s="37">
        <f>L370</f>
        <v>0.67777777777777803</v>
      </c>
      <c r="G371" s="38">
        <f>IF((L371-F371)&gt;0,K371-E371,IF((L371-F371)=0,0,K371-E371 -$F$401))</f>
        <v>0</v>
      </c>
      <c r="H371" s="37">
        <f>IF((L371-F371)&gt;0,L371-F371,IF((L371-F371)=0,0,$H$401+L371-F371))</f>
        <v>0.52083333333333304</v>
      </c>
      <c r="I371" s="35">
        <f t="shared" si="32"/>
        <v>42767</v>
      </c>
      <c r="J371" s="36">
        <f>D372</f>
        <v>2017</v>
      </c>
      <c r="K371" s="36">
        <f>E372</f>
        <v>32</v>
      </c>
      <c r="L371" s="37">
        <f>F372</f>
        <v>0.19861111111111099</v>
      </c>
      <c r="M371" s="41"/>
      <c r="N371" s="42"/>
      <c r="O371" s="43">
        <f>IF(VALUE(LEFT($O372,3))&lt;192,50,IF(VALUE(LEFT($O372,3))&gt;597,50,VLOOKUP(VLOOKUP(VALUE(LEFT($O372,3)),'CIRS Table Info'!$B$6:$J$425,2,FALSE),'CIRS Table Info'!$B$428:$C$431,2,FALSE)))</f>
        <v>50</v>
      </c>
      <c r="P371" s="44">
        <f t="shared" si="34"/>
        <v>10</v>
      </c>
    </row>
    <row r="372" spans="1:17" x14ac:dyDescent="0.2">
      <c r="A372" s="21">
        <v>180</v>
      </c>
      <c r="B372" s="45" t="s">
        <v>620</v>
      </c>
      <c r="C372" s="35">
        <f t="shared" si="31"/>
        <v>42767</v>
      </c>
      <c r="D372" s="39">
        <v>2017</v>
      </c>
      <c r="E372" s="40">
        <v>32</v>
      </c>
      <c r="F372" s="37">
        <v>0.19861111111111099</v>
      </c>
      <c r="G372" s="38">
        <v>0</v>
      </c>
      <c r="H372" s="37">
        <v>0.120138888888889</v>
      </c>
      <c r="I372" s="35">
        <f t="shared" si="32"/>
        <v>42767</v>
      </c>
      <c r="J372" s="47">
        <v>2017</v>
      </c>
      <c r="K372" s="36">
        <v>32</v>
      </c>
      <c r="L372" s="37">
        <v>0.31874999999999998</v>
      </c>
      <c r="M372" s="43">
        <v>3000</v>
      </c>
      <c r="N372" s="43">
        <v>31.14</v>
      </c>
      <c r="O372" s="43">
        <f>IF(MID(B372,6,7)="NO_DATA",50,IF(N372=0,50,IF(A372="", " ",929)))</f>
        <v>929</v>
      </c>
      <c r="P372" s="44">
        <f t="shared" si="34"/>
        <v>1</v>
      </c>
    </row>
    <row r="373" spans="1:17" x14ac:dyDescent="0.2">
      <c r="A373" s="21"/>
      <c r="B373" s="45" t="s">
        <v>656</v>
      </c>
      <c r="C373" s="35">
        <f t="shared" si="31"/>
        <v>42767</v>
      </c>
      <c r="D373" s="36">
        <f>J372</f>
        <v>2017</v>
      </c>
      <c r="E373" s="36">
        <f>K372</f>
        <v>32</v>
      </c>
      <c r="F373" s="37">
        <f>L372</f>
        <v>0.31874999999999998</v>
      </c>
      <c r="G373" s="38">
        <f>IF((L373-F373)&gt;0,K373-E373,IF((L373-F373)=0,0,K373-E373 -$F$401))</f>
        <v>0</v>
      </c>
      <c r="H373" s="37">
        <f>IF((L373-F373)&gt;0,L373-F373,IF((L373-F373)=0,0,$H$401+L373-F373))</f>
        <v>2.7777777777778012E-2</v>
      </c>
      <c r="I373" s="35">
        <f t="shared" si="32"/>
        <v>42767</v>
      </c>
      <c r="J373" s="36">
        <f>D374</f>
        <v>2017</v>
      </c>
      <c r="K373" s="36">
        <f>E374</f>
        <v>32</v>
      </c>
      <c r="L373" s="37">
        <f>F374</f>
        <v>0.34652777777777799</v>
      </c>
      <c r="M373" s="41"/>
      <c r="N373" s="42"/>
      <c r="O373" s="43">
        <f>IF(VALUE(LEFT($O374,3))&lt;192,50,IF(VALUE(LEFT($O374,3))&gt;597,50,VLOOKUP(VLOOKUP(VALUE(LEFT($O374,3)),'CIRS Table Info'!$B$6:$J$425,2,FALSE),'CIRS Table Info'!$B$428:$C$431,2,FALSE)))</f>
        <v>606</v>
      </c>
      <c r="P373" s="44">
        <f t="shared" si="34"/>
        <v>1</v>
      </c>
    </row>
    <row r="374" spans="1:17" x14ac:dyDescent="0.2">
      <c r="A374" s="21">
        <v>181</v>
      </c>
      <c r="B374" s="45" t="s">
        <v>621</v>
      </c>
      <c r="C374" s="35">
        <f t="shared" si="31"/>
        <v>42767</v>
      </c>
      <c r="D374" s="39">
        <v>2017</v>
      </c>
      <c r="E374" s="40">
        <v>32</v>
      </c>
      <c r="F374" s="37">
        <v>0.34652777777777799</v>
      </c>
      <c r="G374" s="38">
        <v>0</v>
      </c>
      <c r="H374" s="37">
        <v>4.1666666666666699E-2</v>
      </c>
      <c r="I374" s="35">
        <f t="shared" si="32"/>
        <v>42767</v>
      </c>
      <c r="J374" s="47">
        <v>2017</v>
      </c>
      <c r="K374" s="36">
        <v>32</v>
      </c>
      <c r="L374" s="37">
        <v>0.38819444444444401</v>
      </c>
      <c r="M374" s="43">
        <v>4000</v>
      </c>
      <c r="N374" s="43">
        <v>14.4</v>
      </c>
      <c r="O374" s="43">
        <v>491</v>
      </c>
      <c r="P374" s="44">
        <f t="shared" si="34"/>
        <v>1</v>
      </c>
    </row>
    <row r="375" spans="1:17" x14ac:dyDescent="0.2">
      <c r="A375" s="21"/>
      <c r="B375" s="45" t="s">
        <v>657</v>
      </c>
      <c r="C375" s="35">
        <f t="shared" si="31"/>
        <v>42767</v>
      </c>
      <c r="D375" s="36">
        <f>J374</f>
        <v>2017</v>
      </c>
      <c r="E375" s="36">
        <f>K374</f>
        <v>32</v>
      </c>
      <c r="F375" s="37">
        <f>L374</f>
        <v>0.38819444444444401</v>
      </c>
      <c r="G375" s="38">
        <f>IF((L375-F375)&gt;0,K375-E375,IF((L375-F375)=0,0,K375-E375 -$F$401))</f>
        <v>0</v>
      </c>
      <c r="H375" s="37">
        <f>IF((L375-F375)&gt;0,L375-F375,IF((L375-F375)=0,0,$H$401+L375-F375))</f>
        <v>0</v>
      </c>
      <c r="I375" s="35">
        <f t="shared" si="32"/>
        <v>42767</v>
      </c>
      <c r="J375" s="36">
        <f>D376</f>
        <v>2017</v>
      </c>
      <c r="K375" s="36">
        <f>E376</f>
        <v>32</v>
      </c>
      <c r="L375" s="37">
        <f>F376</f>
        <v>0.38819444444444401</v>
      </c>
      <c r="M375" s="41"/>
      <c r="N375" s="42"/>
      <c r="O375" s="43">
        <f>IF(VALUE(LEFT($O376,3))&lt;192,50,IF(VALUE(LEFT($O376,3))&gt;597,50,VLOOKUP(VLOOKUP(VALUE(LEFT($O376,3)),'CIRS Table Info'!$B$6:$J$425,2,FALSE),'CIRS Table Info'!$B$428:$C$431,2,FALSE)))</f>
        <v>602</v>
      </c>
      <c r="P375" s="44">
        <f t="shared" si="34"/>
        <v>1</v>
      </c>
    </row>
    <row r="376" spans="1:17" x14ac:dyDescent="0.2">
      <c r="A376" s="21">
        <v>182</v>
      </c>
      <c r="B376" s="45" t="s">
        <v>622</v>
      </c>
      <c r="C376" s="35">
        <f t="shared" si="31"/>
        <v>42767</v>
      </c>
      <c r="D376" s="39">
        <v>2017</v>
      </c>
      <c r="E376" s="40">
        <v>32</v>
      </c>
      <c r="F376" s="37">
        <v>0.38819444444444401</v>
      </c>
      <c r="G376" s="38">
        <v>0</v>
      </c>
      <c r="H376" s="37">
        <v>0.15763888888888899</v>
      </c>
      <c r="I376" s="35">
        <f t="shared" si="32"/>
        <v>42767</v>
      </c>
      <c r="J376" s="47">
        <v>2017</v>
      </c>
      <c r="K376" s="36">
        <v>32</v>
      </c>
      <c r="L376" s="37">
        <v>0.54583333333333295</v>
      </c>
      <c r="M376" s="43">
        <v>3600</v>
      </c>
      <c r="N376" s="43">
        <v>49.031999999999996</v>
      </c>
      <c r="O376" s="43">
        <v>467</v>
      </c>
      <c r="P376" s="44">
        <v>2</v>
      </c>
    </row>
    <row r="377" spans="1:17" x14ac:dyDescent="0.2">
      <c r="A377" s="21"/>
      <c r="B377" s="45" t="s">
        <v>658</v>
      </c>
      <c r="C377" s="35">
        <f t="shared" si="31"/>
        <v>42767</v>
      </c>
      <c r="D377" s="36">
        <f>J376</f>
        <v>2017</v>
      </c>
      <c r="E377" s="36">
        <f>K376</f>
        <v>32</v>
      </c>
      <c r="F377" s="37">
        <f>L376</f>
        <v>0.54583333333333295</v>
      </c>
      <c r="G377" s="38">
        <f>IF((L377-F377)&gt;0,K377-E377,IF((L377-F377)=0,0,K377-E377 -$F$401))</f>
        <v>0</v>
      </c>
      <c r="H377" s="37">
        <f>IF((L377-F377)&gt;0,L377-F377,IF((L377-F377)=0,0,$H$401+L377-F377))</f>
        <v>0</v>
      </c>
      <c r="I377" s="35">
        <f t="shared" si="32"/>
        <v>42767</v>
      </c>
      <c r="J377" s="36">
        <f>D378</f>
        <v>2017</v>
      </c>
      <c r="K377" s="36">
        <f>E378</f>
        <v>32</v>
      </c>
      <c r="L377" s="37">
        <f>F378</f>
        <v>0.54583333333333295</v>
      </c>
      <c r="M377" s="41"/>
      <c r="N377" s="42"/>
      <c r="O377" s="43">
        <f>IF(VALUE(LEFT($O378,3))&lt;192,50,IF(VALUE(LEFT($O378,3))&gt;597,50,VLOOKUP(VLOOKUP(VALUE(LEFT($O378,3)),'CIRS Table Info'!$B$6:$J$425,2,FALSE),'CIRS Table Info'!$B$428:$C$431,2,FALSE)))</f>
        <v>606</v>
      </c>
      <c r="P377" s="44">
        <f t="shared" ref="P377:P387" si="35">IF(O377=50,10,1)</f>
        <v>1</v>
      </c>
    </row>
    <row r="378" spans="1:17" x14ac:dyDescent="0.2">
      <c r="A378" s="21">
        <v>183</v>
      </c>
      <c r="B378" s="45" t="s">
        <v>623</v>
      </c>
      <c r="C378" s="35">
        <f t="shared" si="31"/>
        <v>42767</v>
      </c>
      <c r="D378" s="39">
        <v>2017</v>
      </c>
      <c r="E378" s="40">
        <v>32</v>
      </c>
      <c r="F378" s="37">
        <v>0.54583333333333295</v>
      </c>
      <c r="G378" s="38">
        <v>0</v>
      </c>
      <c r="H378" s="37">
        <v>4.1666666666666699E-2</v>
      </c>
      <c r="I378" s="35">
        <f t="shared" si="32"/>
        <v>42767</v>
      </c>
      <c r="J378" s="47">
        <v>2017</v>
      </c>
      <c r="K378" s="36">
        <v>32</v>
      </c>
      <c r="L378" s="37">
        <v>0.58750000000000002</v>
      </c>
      <c r="M378" s="43">
        <v>4000</v>
      </c>
      <c r="N378" s="43">
        <v>14.4</v>
      </c>
      <c r="O378" s="43">
        <v>491</v>
      </c>
      <c r="P378" s="44">
        <f t="shared" si="35"/>
        <v>1</v>
      </c>
    </row>
    <row r="379" spans="1:17" x14ac:dyDescent="0.2">
      <c r="A379" s="21"/>
      <c r="B379" s="45" t="s">
        <v>659</v>
      </c>
      <c r="C379" s="35">
        <f t="shared" si="31"/>
        <v>42767</v>
      </c>
      <c r="D379" s="36">
        <f>J378</f>
        <v>2017</v>
      </c>
      <c r="E379" s="36">
        <f>K378</f>
        <v>32</v>
      </c>
      <c r="F379" s="37">
        <f>L378</f>
        <v>0.58750000000000002</v>
      </c>
      <c r="G379" s="38">
        <f>IF((L379-F379)&gt;0,K379-E379,IF((L379-F379)=0,0,K379-E379 -$F$401))</f>
        <v>0</v>
      </c>
      <c r="H379" s="37">
        <f>IF((L379-F379)&gt;0,L379-F379,IF((L379-F379)=0,0,$H$401+L379-F379))</f>
        <v>0</v>
      </c>
      <c r="I379" s="35">
        <f t="shared" si="32"/>
        <v>42767</v>
      </c>
      <c r="J379" s="36">
        <f>D380</f>
        <v>2017</v>
      </c>
      <c r="K379" s="36">
        <f>E380</f>
        <v>32</v>
      </c>
      <c r="L379" s="37">
        <f>F380</f>
        <v>0.58750000000000002</v>
      </c>
      <c r="M379" s="41"/>
      <c r="N379" s="42"/>
      <c r="O379" s="43">
        <f>IF(VALUE(LEFT($O380,3))&lt;192,50,IF(VALUE(LEFT($O380,3))&gt;597,50,VLOOKUP(VLOOKUP(VALUE(LEFT($O380,3)),'CIRS Table Info'!$B$6:$J$425,2,FALSE),'CIRS Table Info'!$B$428:$C$431,2,FALSE)))</f>
        <v>606</v>
      </c>
      <c r="P379" s="44">
        <f t="shared" si="35"/>
        <v>1</v>
      </c>
    </row>
    <row r="380" spans="1:17" x14ac:dyDescent="0.2">
      <c r="A380" s="21">
        <v>184</v>
      </c>
      <c r="B380" s="45" t="s">
        <v>624</v>
      </c>
      <c r="C380" s="35">
        <f t="shared" si="31"/>
        <v>42767</v>
      </c>
      <c r="D380" s="39">
        <v>2017</v>
      </c>
      <c r="E380" s="40">
        <v>32</v>
      </c>
      <c r="F380" s="37">
        <v>0.58750000000000002</v>
      </c>
      <c r="G380" s="38">
        <v>0</v>
      </c>
      <c r="H380" s="37">
        <v>0.21875</v>
      </c>
      <c r="I380" s="35">
        <f t="shared" si="32"/>
        <v>42767</v>
      </c>
      <c r="J380" s="47">
        <v>2017</v>
      </c>
      <c r="K380" s="36">
        <v>32</v>
      </c>
      <c r="L380" s="37">
        <v>0.80625000000000002</v>
      </c>
      <c r="M380" s="43">
        <v>4000</v>
      </c>
      <c r="N380" s="43">
        <v>75.599999999999994</v>
      </c>
      <c r="O380" s="43">
        <v>591</v>
      </c>
      <c r="P380" s="44">
        <f t="shared" si="35"/>
        <v>1</v>
      </c>
    </row>
    <row r="381" spans="1:17" x14ac:dyDescent="0.2">
      <c r="A381" s="21"/>
      <c r="B381" s="45" t="s">
        <v>660</v>
      </c>
      <c r="C381" s="35">
        <f t="shared" si="31"/>
        <v>42767</v>
      </c>
      <c r="D381" s="36">
        <f>J380</f>
        <v>2017</v>
      </c>
      <c r="E381" s="36">
        <f>K380</f>
        <v>32</v>
      </c>
      <c r="F381" s="37">
        <f>L380</f>
        <v>0.80625000000000002</v>
      </c>
      <c r="G381" s="38">
        <f>IF((L381-F381)&gt;0,K381-E381,IF((L381-F381)=0,0,K381-E381 -$F$401))</f>
        <v>0</v>
      </c>
      <c r="H381" s="37">
        <f>IF((L381-F381)&gt;0,L381-F381,IF((L381-F381)=0,0,$H$401+L381-F381))</f>
        <v>0</v>
      </c>
      <c r="I381" s="35">
        <f t="shared" si="32"/>
        <v>42767</v>
      </c>
      <c r="J381" s="36">
        <f>D382</f>
        <v>2017</v>
      </c>
      <c r="K381" s="36">
        <f>E382</f>
        <v>32</v>
      </c>
      <c r="L381" s="37">
        <f>F382</f>
        <v>0.80625000000000002</v>
      </c>
      <c r="M381" s="41"/>
      <c r="N381" s="42"/>
      <c r="O381" s="43">
        <f>IF(VALUE(LEFT($O382,3))&lt;192,50,IF(VALUE(LEFT($O382,3))&gt;597,50,VLOOKUP(VLOOKUP(VALUE(LEFT($O382,3)),'CIRS Table Info'!$B$6:$J$425,2,FALSE),'CIRS Table Info'!$B$428:$C$431,2,FALSE)))</f>
        <v>606</v>
      </c>
      <c r="P381" s="44">
        <f t="shared" si="35"/>
        <v>1</v>
      </c>
    </row>
    <row r="382" spans="1:17" x14ac:dyDescent="0.2">
      <c r="A382" s="21">
        <v>185</v>
      </c>
      <c r="B382" s="45" t="s">
        <v>627</v>
      </c>
      <c r="C382" s="35">
        <f t="shared" si="31"/>
        <v>42767</v>
      </c>
      <c r="D382" s="39">
        <v>2017</v>
      </c>
      <c r="E382" s="40">
        <v>32</v>
      </c>
      <c r="F382" s="37">
        <v>0.80625000000000002</v>
      </c>
      <c r="G382" s="38">
        <v>0</v>
      </c>
      <c r="H382" s="37">
        <v>4.1666666666666699E-2</v>
      </c>
      <c r="I382" s="35">
        <f t="shared" si="32"/>
        <v>42767</v>
      </c>
      <c r="J382" s="47">
        <v>2017</v>
      </c>
      <c r="K382" s="36">
        <v>32</v>
      </c>
      <c r="L382" s="37">
        <v>0.84791666666666698</v>
      </c>
      <c r="M382" s="43">
        <v>4000</v>
      </c>
      <c r="N382" s="43">
        <v>14.4</v>
      </c>
      <c r="O382" s="43">
        <v>491</v>
      </c>
      <c r="P382" s="44">
        <f t="shared" si="35"/>
        <v>1</v>
      </c>
    </row>
    <row r="383" spans="1:17" x14ac:dyDescent="0.2">
      <c r="A383" s="21"/>
      <c r="B383" s="45" t="s">
        <v>661</v>
      </c>
      <c r="C383" s="35">
        <f t="shared" si="31"/>
        <v>42767</v>
      </c>
      <c r="D383" s="36">
        <f>J382</f>
        <v>2017</v>
      </c>
      <c r="E383" s="36">
        <f>K382</f>
        <v>32</v>
      </c>
      <c r="F383" s="37">
        <f>L382</f>
        <v>0.84791666666666698</v>
      </c>
      <c r="G383" s="38">
        <f>IF((L383-F383)&gt;0,K383-E383,IF((L383-F383)=0,0,K383-E383 -$F$401))</f>
        <v>0</v>
      </c>
      <c r="H383" s="37">
        <f>IF((L383-F383)&gt;0,L383-F383,IF((L383-F383)=0,0,$H$401+L383-F383))</f>
        <v>0</v>
      </c>
      <c r="I383" s="35">
        <f t="shared" si="32"/>
        <v>42767</v>
      </c>
      <c r="J383" s="36">
        <f>D384</f>
        <v>2017</v>
      </c>
      <c r="K383" s="36">
        <f>E384</f>
        <v>32</v>
      </c>
      <c r="L383" s="37">
        <f>F384</f>
        <v>0.84791666666666698</v>
      </c>
      <c r="M383" s="41"/>
      <c r="N383" s="42"/>
      <c r="O383" s="43">
        <f>IF(VALUE(LEFT($O384,3))&lt;192,50,IF(VALUE(LEFT($O384,3))&gt;597,50,VLOOKUP(VLOOKUP(VALUE(LEFT($O384,3)),'CIRS Table Info'!$B$6:$J$425,2,FALSE),'CIRS Table Info'!$B$428:$C$431,2,FALSE)))</f>
        <v>600</v>
      </c>
      <c r="P383" s="44">
        <f t="shared" si="35"/>
        <v>1</v>
      </c>
      <c r="Q383" s="49"/>
    </row>
    <row r="384" spans="1:17" x14ac:dyDescent="0.2">
      <c r="A384" s="21">
        <v>186</v>
      </c>
      <c r="B384" s="45" t="s">
        <v>628</v>
      </c>
      <c r="C384" s="35">
        <f t="shared" si="31"/>
        <v>42767</v>
      </c>
      <c r="D384" s="39">
        <v>2017</v>
      </c>
      <c r="E384" s="40">
        <v>32</v>
      </c>
      <c r="F384" s="37">
        <v>0.84791666666666698</v>
      </c>
      <c r="G384" s="38">
        <v>0</v>
      </c>
      <c r="H384" s="37">
        <v>0.21875</v>
      </c>
      <c r="I384" s="35">
        <f t="shared" si="32"/>
        <v>42768</v>
      </c>
      <c r="J384" s="47">
        <v>2017</v>
      </c>
      <c r="K384" s="36">
        <v>33</v>
      </c>
      <c r="L384" s="37">
        <v>6.6666666666666693E-2</v>
      </c>
      <c r="M384" s="43">
        <v>3600</v>
      </c>
      <c r="N384" s="43">
        <v>68.040000000000006</v>
      </c>
      <c r="O384" s="43">
        <v>505</v>
      </c>
      <c r="P384" s="44">
        <f t="shared" si="35"/>
        <v>1</v>
      </c>
      <c r="Q384" s="49"/>
    </row>
    <row r="385" spans="1:17" x14ac:dyDescent="0.2">
      <c r="A385" s="21"/>
      <c r="B385" s="45" t="s">
        <v>662</v>
      </c>
      <c r="C385" s="35">
        <f t="shared" si="31"/>
        <v>42768</v>
      </c>
      <c r="D385" s="36">
        <f>J384</f>
        <v>2017</v>
      </c>
      <c r="E385" s="36">
        <f>K384</f>
        <v>33</v>
      </c>
      <c r="F385" s="37">
        <f>L384</f>
        <v>6.6666666666666693E-2</v>
      </c>
      <c r="G385" s="38">
        <f>IF((L385-F385)&gt;0,K385-E385,IF((L385-F385)=0,0,K385-E385 -$F$401))</f>
        <v>0</v>
      </c>
      <c r="H385" s="37">
        <f>IF((L385-F385)&gt;0,L385-F385,IF((L385-F385)=0,0,$H$401+L385-F385))</f>
        <v>0</v>
      </c>
      <c r="I385" s="35">
        <f t="shared" si="32"/>
        <v>42768</v>
      </c>
      <c r="J385" s="36">
        <f>D386</f>
        <v>2017</v>
      </c>
      <c r="K385" s="36">
        <f>E386</f>
        <v>33</v>
      </c>
      <c r="L385" s="37">
        <f>F386</f>
        <v>6.6666666666666693E-2</v>
      </c>
      <c r="M385" s="41"/>
      <c r="N385" s="42"/>
      <c r="O385" s="43">
        <f>IF(VALUE(LEFT($O386,3))&lt;192,50,IF(VALUE(LEFT($O386,3))&gt;597,50,VLOOKUP(VLOOKUP(VALUE(LEFT($O386,3)),'CIRS Table Info'!$B$6:$J$425,2,FALSE),'CIRS Table Info'!$B$428:$C$431,2,FALSE)))</f>
        <v>606</v>
      </c>
      <c r="P385" s="44">
        <f t="shared" si="35"/>
        <v>1</v>
      </c>
      <c r="Q385" s="49"/>
    </row>
    <row r="386" spans="1:17" x14ac:dyDescent="0.2">
      <c r="A386" s="21">
        <v>187</v>
      </c>
      <c r="B386" s="45" t="s">
        <v>629</v>
      </c>
      <c r="C386" s="35">
        <f t="shared" si="31"/>
        <v>42768</v>
      </c>
      <c r="D386" s="39">
        <v>2017</v>
      </c>
      <c r="E386" s="40">
        <v>33</v>
      </c>
      <c r="F386" s="37">
        <v>6.6666666666666693E-2</v>
      </c>
      <c r="G386" s="38">
        <v>0</v>
      </c>
      <c r="H386" s="37">
        <v>4.1666666666666699E-2</v>
      </c>
      <c r="I386" s="35">
        <f t="shared" si="32"/>
        <v>42768</v>
      </c>
      <c r="J386" s="47">
        <v>2017</v>
      </c>
      <c r="K386" s="36">
        <v>33</v>
      </c>
      <c r="L386" s="37">
        <v>0.108333333333333</v>
      </c>
      <c r="M386" s="43">
        <v>4000</v>
      </c>
      <c r="N386" s="43">
        <v>14.4</v>
      </c>
      <c r="O386" s="43">
        <v>491</v>
      </c>
      <c r="P386" s="44">
        <f t="shared" si="35"/>
        <v>1</v>
      </c>
      <c r="Q386" s="49"/>
    </row>
    <row r="387" spans="1:17" x14ac:dyDescent="0.2">
      <c r="A387" s="21"/>
      <c r="B387" s="45" t="s">
        <v>663</v>
      </c>
      <c r="C387" s="35">
        <f t="shared" si="31"/>
        <v>42768</v>
      </c>
      <c r="D387" s="36">
        <f>J386</f>
        <v>2017</v>
      </c>
      <c r="E387" s="36">
        <f>K386</f>
        <v>33</v>
      </c>
      <c r="F387" s="37">
        <f>L386</f>
        <v>0.108333333333333</v>
      </c>
      <c r="G387" s="38">
        <f>IF((L387-F387)&gt;0,K387-E387,IF((L387-F387)=0,0,K387-E387 -$F$401))</f>
        <v>0</v>
      </c>
      <c r="H387" s="37">
        <f>IF((L387-F387)&gt;0,L387-F387,IF((L387-F387)=0,0,$H$401+L387-F387))</f>
        <v>0</v>
      </c>
      <c r="I387" s="35">
        <f t="shared" si="32"/>
        <v>42768</v>
      </c>
      <c r="J387" s="36">
        <f>D388</f>
        <v>2017</v>
      </c>
      <c r="K387" s="36">
        <f>E388</f>
        <v>33</v>
      </c>
      <c r="L387" s="37">
        <f>F388</f>
        <v>0.108333333333333</v>
      </c>
      <c r="M387" s="41"/>
      <c r="N387" s="42"/>
      <c r="O387" s="43">
        <f>IF(VALUE(LEFT($O388,3))&lt;192,50,IF(VALUE(LEFT($O388,3))&gt;597,50,VLOOKUP(VLOOKUP(VALUE(LEFT($O388,3)),'CIRS Table Info'!$B$6:$J$425,2,FALSE),'CIRS Table Info'!$B$428:$C$431,2,FALSE)))</f>
        <v>602</v>
      </c>
      <c r="P387" s="44">
        <f t="shared" si="35"/>
        <v>1</v>
      </c>
      <c r="Q387" s="49"/>
    </row>
    <row r="388" spans="1:17" x14ac:dyDescent="0.2">
      <c r="A388" s="21">
        <v>188</v>
      </c>
      <c r="B388" s="45" t="s">
        <v>630</v>
      </c>
      <c r="C388" s="35">
        <f t="shared" si="31"/>
        <v>42768</v>
      </c>
      <c r="D388" s="39">
        <v>2017</v>
      </c>
      <c r="E388" s="40">
        <v>33</v>
      </c>
      <c r="F388" s="37">
        <v>0.108333333333333</v>
      </c>
      <c r="G388" s="38">
        <v>0</v>
      </c>
      <c r="H388" s="37">
        <v>0.29166666666666702</v>
      </c>
      <c r="I388" s="35">
        <f t="shared" si="32"/>
        <v>42768</v>
      </c>
      <c r="J388" s="47">
        <v>2017</v>
      </c>
      <c r="K388" s="36">
        <v>33</v>
      </c>
      <c r="L388" s="37">
        <v>0.4</v>
      </c>
      <c r="M388" s="43">
        <v>3600</v>
      </c>
      <c r="N388" s="43">
        <v>90.72</v>
      </c>
      <c r="O388" s="43">
        <v>467</v>
      </c>
      <c r="P388" s="44">
        <v>2</v>
      </c>
      <c r="Q388" s="49"/>
    </row>
    <row r="389" spans="1:17" x14ac:dyDescent="0.2">
      <c r="A389" s="21"/>
      <c r="B389" s="45" t="s">
        <v>664</v>
      </c>
      <c r="C389" s="35">
        <f t="shared" si="31"/>
        <v>42768</v>
      </c>
      <c r="D389" s="36">
        <f>J388</f>
        <v>2017</v>
      </c>
      <c r="E389" s="36">
        <f>K388</f>
        <v>33</v>
      </c>
      <c r="F389" s="37">
        <f>L388</f>
        <v>0.4</v>
      </c>
      <c r="G389" s="38">
        <f>IF((L389-F389)&gt;0,K389-E389,IF((L389-F389)=0,0,K389-E389 -$F$401))</f>
        <v>0</v>
      </c>
      <c r="H389" s="37">
        <f>IF((L389-F389)&gt;0,L389-F389,IF((L389-F389)=0,0,$H$401+L389-F389))</f>
        <v>0</v>
      </c>
      <c r="I389" s="35">
        <f t="shared" si="32"/>
        <v>42768</v>
      </c>
      <c r="J389" s="36">
        <f>D390</f>
        <v>2017</v>
      </c>
      <c r="K389" s="36">
        <f>E390</f>
        <v>33</v>
      </c>
      <c r="L389" s="37">
        <f>F390</f>
        <v>0.4</v>
      </c>
      <c r="M389" s="41"/>
      <c r="N389" s="42"/>
      <c r="O389" s="43">
        <f>IF(VALUE(LEFT($O390,3))&lt;192,50,IF(VALUE(LEFT($O390,3))&gt;597,50,VLOOKUP(VLOOKUP(VALUE(LEFT($O390,3)),'CIRS Table Info'!$B$6:$J$425,2,FALSE),'CIRS Table Info'!$B$428:$C$431,2,FALSE)))</f>
        <v>606</v>
      </c>
      <c r="P389" s="44">
        <f t="shared" ref="P389:P397" si="36">IF(O389=50,10,1)</f>
        <v>1</v>
      </c>
      <c r="Q389" s="49"/>
    </row>
    <row r="390" spans="1:17" x14ac:dyDescent="0.2">
      <c r="A390" s="21">
        <v>189</v>
      </c>
      <c r="B390" s="45" t="s">
        <v>631</v>
      </c>
      <c r="C390" s="35">
        <f t="shared" si="31"/>
        <v>42768</v>
      </c>
      <c r="D390" s="39">
        <v>2017</v>
      </c>
      <c r="E390" s="40">
        <v>33</v>
      </c>
      <c r="F390" s="37">
        <v>0.4</v>
      </c>
      <c r="G390" s="38">
        <v>0</v>
      </c>
      <c r="H390" s="37">
        <v>0.23958333333333301</v>
      </c>
      <c r="I390" s="35">
        <f t="shared" si="32"/>
        <v>42768</v>
      </c>
      <c r="J390" s="47">
        <v>2017</v>
      </c>
      <c r="K390" s="36">
        <v>33</v>
      </c>
      <c r="L390" s="37">
        <v>0.63958333333333295</v>
      </c>
      <c r="M390" s="43">
        <v>3600</v>
      </c>
      <c r="N390" s="43">
        <v>74.52</v>
      </c>
      <c r="O390" s="43">
        <v>591</v>
      </c>
      <c r="P390" s="44">
        <f t="shared" si="36"/>
        <v>1</v>
      </c>
      <c r="Q390" s="49"/>
    </row>
    <row r="391" spans="1:17" x14ac:dyDescent="0.2">
      <c r="A391" s="21"/>
      <c r="B391" s="45" t="s">
        <v>665</v>
      </c>
      <c r="C391" s="35">
        <f t="shared" si="31"/>
        <v>42768</v>
      </c>
      <c r="D391" s="36">
        <f>J390</f>
        <v>2017</v>
      </c>
      <c r="E391" s="36">
        <f>K390</f>
        <v>33</v>
      </c>
      <c r="F391" s="37">
        <f>L390</f>
        <v>0.63958333333333295</v>
      </c>
      <c r="G391" s="38">
        <f>IF((L391-F391)&gt;0,K391-E391,IF((L391-F391)=0,0,K391-E391 -$F$401))</f>
        <v>0</v>
      </c>
      <c r="H391" s="37">
        <f>IF((L391-F391)&gt;0,L391-F391,IF((L391-F391)=0,0,$H$401+L391-F391))</f>
        <v>0</v>
      </c>
      <c r="I391" s="35">
        <f t="shared" si="32"/>
        <v>42768</v>
      </c>
      <c r="J391" s="36">
        <f>D392</f>
        <v>2017</v>
      </c>
      <c r="K391" s="36">
        <f>E392</f>
        <v>33</v>
      </c>
      <c r="L391" s="37">
        <f>F392</f>
        <v>0.63958333333333295</v>
      </c>
      <c r="M391" s="41"/>
      <c r="N391" s="42"/>
      <c r="O391" s="43">
        <f>IF(VALUE(LEFT($O392,3))&lt;192,50,IF(VALUE(LEFT($O392,3))&gt;597,50,VLOOKUP(VLOOKUP(VALUE(LEFT($O392,3)),'CIRS Table Info'!$B$6:$J$425,2,FALSE),'CIRS Table Info'!$B$428:$C$431,2,FALSE)))</f>
        <v>606</v>
      </c>
      <c r="P391" s="44">
        <f t="shared" si="36"/>
        <v>1</v>
      </c>
      <c r="Q391" s="49"/>
    </row>
    <row r="392" spans="1:17" x14ac:dyDescent="0.2">
      <c r="A392" s="21">
        <v>190</v>
      </c>
      <c r="B392" s="45" t="s">
        <v>633</v>
      </c>
      <c r="C392" s="35">
        <f t="shared" si="31"/>
        <v>42768</v>
      </c>
      <c r="D392" s="39">
        <v>2017</v>
      </c>
      <c r="E392" s="40">
        <v>33</v>
      </c>
      <c r="F392" s="37">
        <v>0.63958333333333295</v>
      </c>
      <c r="G392" s="38">
        <v>0</v>
      </c>
      <c r="H392" s="37">
        <v>4.1666666666666699E-2</v>
      </c>
      <c r="I392" s="35">
        <f t="shared" si="32"/>
        <v>42768</v>
      </c>
      <c r="J392" s="47">
        <v>2017</v>
      </c>
      <c r="K392" s="36">
        <v>33</v>
      </c>
      <c r="L392" s="37">
        <v>0.68125000000000002</v>
      </c>
      <c r="M392" s="43">
        <v>3600</v>
      </c>
      <c r="N392" s="43">
        <v>12.96</v>
      </c>
      <c r="O392" s="43">
        <v>491</v>
      </c>
      <c r="P392" s="44">
        <f t="shared" si="36"/>
        <v>1</v>
      </c>
      <c r="Q392" s="49"/>
    </row>
    <row r="393" spans="1:17" x14ac:dyDescent="0.2">
      <c r="A393" s="21"/>
      <c r="B393" s="45" t="s">
        <v>666</v>
      </c>
      <c r="C393" s="35">
        <f t="shared" si="31"/>
        <v>42768</v>
      </c>
      <c r="D393" s="36">
        <f>J392</f>
        <v>2017</v>
      </c>
      <c r="E393" s="36">
        <f>K392</f>
        <v>33</v>
      </c>
      <c r="F393" s="37">
        <f>L392</f>
        <v>0.68125000000000002</v>
      </c>
      <c r="G393" s="38">
        <f>IF((L393-F393)&gt;0,K393-E393,IF((L393-F393)=0,0,K393-E393 -$F$401))</f>
        <v>0</v>
      </c>
      <c r="H393" s="37">
        <f>IF((L393-F393)&gt;0,L393-F393,IF((L393-F393)=0,0,$H$401+L393-F393))</f>
        <v>6.9444444444443976E-2</v>
      </c>
      <c r="I393" s="35">
        <f t="shared" si="32"/>
        <v>42768</v>
      </c>
      <c r="J393" s="36">
        <f>D394</f>
        <v>2017</v>
      </c>
      <c r="K393" s="36">
        <f>E394</f>
        <v>33</v>
      </c>
      <c r="L393" s="37">
        <f>F394</f>
        <v>0.750694444444444</v>
      </c>
      <c r="M393" s="41"/>
      <c r="N393" s="42"/>
      <c r="O393" s="43">
        <f>IF(VALUE(LEFT($O394,3))&lt;192,50,IF(VALUE(LEFT($O394,3))&gt;597,50,VLOOKUP(VLOOKUP(VALUE(LEFT($O394,3)),'CIRS Table Info'!$B$6:$J$425,2,FALSE),'CIRS Table Info'!$B$428:$C$431,2,FALSE)))</f>
        <v>50</v>
      </c>
      <c r="P393" s="44">
        <f t="shared" si="36"/>
        <v>10</v>
      </c>
      <c r="Q393" s="49"/>
    </row>
    <row r="394" spans="1:17" x14ac:dyDescent="0.2">
      <c r="A394" s="21">
        <v>191</v>
      </c>
      <c r="B394" s="45" t="s">
        <v>634</v>
      </c>
      <c r="C394" s="35">
        <f t="shared" ref="C394:C398" si="37">DATE(D394,1,E394)</f>
        <v>42768</v>
      </c>
      <c r="D394" s="39">
        <v>2017</v>
      </c>
      <c r="E394" s="40">
        <v>33</v>
      </c>
      <c r="F394" s="37">
        <v>0.750694444444444</v>
      </c>
      <c r="G394" s="38">
        <v>0</v>
      </c>
      <c r="H394" s="37">
        <v>0.40138888888888902</v>
      </c>
      <c r="I394" s="35">
        <f t="shared" si="32"/>
        <v>42769</v>
      </c>
      <c r="J394" s="47">
        <v>2017</v>
      </c>
      <c r="K394" s="36">
        <v>34</v>
      </c>
      <c r="L394" s="37">
        <v>0.15208333333333299</v>
      </c>
      <c r="M394" s="43">
        <v>3000</v>
      </c>
      <c r="N394" s="43">
        <v>104.04</v>
      </c>
      <c r="O394" s="43">
        <f>IF(MID(B394,6,7)="NO_DATA",50,IF(N394=0,50,IF(A394="", " ",940)))</f>
        <v>940</v>
      </c>
      <c r="P394" s="44">
        <f t="shared" si="36"/>
        <v>1</v>
      </c>
      <c r="Q394" s="49"/>
    </row>
    <row r="395" spans="1:17" x14ac:dyDescent="0.2">
      <c r="A395" s="21"/>
      <c r="B395" s="45" t="s">
        <v>667</v>
      </c>
      <c r="C395" s="35">
        <f t="shared" si="37"/>
        <v>42769</v>
      </c>
      <c r="D395" s="47">
        <f>J394</f>
        <v>2017</v>
      </c>
      <c r="E395" s="36">
        <f>K394</f>
        <v>34</v>
      </c>
      <c r="F395" s="37">
        <f>L394</f>
        <v>0.15208333333333299</v>
      </c>
      <c r="G395" s="38">
        <f>IF((L395-F395)&gt;0,K395-E395,IF((L395-F395)=0,0,K395-E395 -$F$401))</f>
        <v>0</v>
      </c>
      <c r="H395" s="37">
        <f>IF((L395-F395)&gt;0,L395-F395,IF((L395-F395)=0,0,$H$401+L395-F395))</f>
        <v>4.1666666666667018E-2</v>
      </c>
      <c r="I395" s="35">
        <f t="shared" ref="I395:I397" si="38">DATE(J395,1,K395)</f>
        <v>42769</v>
      </c>
      <c r="J395" s="47">
        <f>D396</f>
        <v>2017</v>
      </c>
      <c r="K395" s="36">
        <f>E396</f>
        <v>34</v>
      </c>
      <c r="L395" s="37">
        <f>F396</f>
        <v>0.19375000000000001</v>
      </c>
      <c r="M395" s="43"/>
      <c r="N395" s="43"/>
      <c r="O395" s="43">
        <f>IF(VALUE(LEFT($O396,3))&lt;192,50,IF(VALUE(LEFT($O396,3))&gt;597,50,VLOOKUP(VLOOKUP(VALUE(LEFT($O396,3)),'CIRS Table Info'!$B$6:$J$425,2,FALSE),'CIRS Table Info'!$B$428:$C$431,2,FALSE)))</f>
        <v>50</v>
      </c>
      <c r="P395" s="44">
        <f t="shared" si="36"/>
        <v>10</v>
      </c>
      <c r="Q395" s="49"/>
    </row>
    <row r="396" spans="1:17" x14ac:dyDescent="0.2">
      <c r="A396" s="21">
        <v>192</v>
      </c>
      <c r="B396" s="45" t="s">
        <v>635</v>
      </c>
      <c r="C396" s="35">
        <f t="shared" si="37"/>
        <v>42769</v>
      </c>
      <c r="D396" s="36">
        <v>2017</v>
      </c>
      <c r="E396" s="36">
        <v>34</v>
      </c>
      <c r="F396" s="37">
        <v>0.19375000000000001</v>
      </c>
      <c r="G396" s="38">
        <v>0</v>
      </c>
      <c r="H396" s="37">
        <v>0.101388888888889</v>
      </c>
      <c r="I396" s="35">
        <f t="shared" si="38"/>
        <v>42769</v>
      </c>
      <c r="J396" s="36">
        <v>2017</v>
      </c>
      <c r="K396" s="36">
        <v>34</v>
      </c>
      <c r="L396" s="37">
        <v>0.29513888888888901</v>
      </c>
      <c r="M396" s="41">
        <v>3000</v>
      </c>
      <c r="N396" s="42">
        <v>26.28</v>
      </c>
      <c r="O396" s="43">
        <f>IF(MID(B396,6,7)="NO_DATA",50,IF(N396=0,50,IF(A396="", " ",941)))</f>
        <v>941</v>
      </c>
      <c r="P396" s="44">
        <f t="shared" si="36"/>
        <v>1</v>
      </c>
    </row>
    <row r="397" spans="1:17" ht="15.75" thickBot="1" x14ac:dyDescent="0.25">
      <c r="A397" s="21"/>
      <c r="B397" s="45" t="s">
        <v>668</v>
      </c>
      <c r="C397" s="35">
        <f t="shared" si="37"/>
        <v>42769</v>
      </c>
      <c r="D397" s="47">
        <f>J396</f>
        <v>2017</v>
      </c>
      <c r="E397" s="36">
        <f>K396</f>
        <v>34</v>
      </c>
      <c r="F397" s="37">
        <f>L396</f>
        <v>0.29513888888888901</v>
      </c>
      <c r="G397" s="38">
        <v>0</v>
      </c>
      <c r="H397" s="37">
        <f>IF((L397-F397)&gt;0,L397-F397,IF((L397-F397)=0,0,$H$401+L397-F397))</f>
        <v>0.99999999999999978</v>
      </c>
      <c r="I397" s="35">
        <f t="shared" si="38"/>
        <v>42769</v>
      </c>
      <c r="J397" s="47">
        <f>D398</f>
        <v>2017</v>
      </c>
      <c r="K397" s="36">
        <f>E398</f>
        <v>34</v>
      </c>
      <c r="L397" s="37">
        <f>F398</f>
        <v>0.2951388888888889</v>
      </c>
      <c r="M397" s="41"/>
      <c r="N397" s="42"/>
      <c r="O397" s="43">
        <f>IF(MID(B397,6,7)="NO_DATA",50,IF(A397="", " ",$O$2+A397-1))</f>
        <v>50</v>
      </c>
      <c r="P397" s="44">
        <f t="shared" si="36"/>
        <v>10</v>
      </c>
    </row>
    <row r="398" spans="1:17" ht="15.75" thickBot="1" x14ac:dyDescent="0.25">
      <c r="A398" s="21"/>
      <c r="B398" s="50" t="s">
        <v>362</v>
      </c>
      <c r="C398" s="51">
        <f t="shared" si="37"/>
        <v>42769</v>
      </c>
      <c r="D398" s="52">
        <v>2017</v>
      </c>
      <c r="E398" s="52">
        <v>34</v>
      </c>
      <c r="F398" s="53">
        <v>0.2951388888888889</v>
      </c>
      <c r="G398" s="54"/>
      <c r="H398" s="55"/>
      <c r="I398" s="56"/>
      <c r="J398" s="57"/>
      <c r="K398" s="57"/>
      <c r="L398" s="55"/>
      <c r="M398" s="57"/>
      <c r="N398" s="58"/>
      <c r="O398" s="57" t="str">
        <f>IF(MID(B398,6,7)="NO_DATA",50,IF(A398="", " ",$O$2+A398-1))</f>
        <v xml:space="preserve"> </v>
      </c>
      <c r="P398" s="57"/>
    </row>
    <row r="399" spans="1:17" x14ac:dyDescent="0.2">
      <c r="B399" s="59"/>
      <c r="C399" s="59"/>
      <c r="D399" s="59"/>
      <c r="E399" s="59"/>
      <c r="F399" s="60"/>
      <c r="G399" s="61"/>
      <c r="H399" s="62"/>
      <c r="I399" s="62"/>
      <c r="J399" s="63"/>
      <c r="K399" s="63"/>
      <c r="L399" s="61"/>
      <c r="M399" s="64"/>
      <c r="N399" s="65"/>
      <c r="O399" s="64"/>
      <c r="P399" s="64"/>
    </row>
    <row r="401" spans="1:16" x14ac:dyDescent="0.2">
      <c r="A401" s="14">
        <f>COUNTA(A8:A398)</f>
        <v>193</v>
      </c>
      <c r="B401" s="14" t="s">
        <v>32</v>
      </c>
      <c r="F401" s="14">
        <v>1</v>
      </c>
      <c r="G401" s="14" t="s">
        <v>207</v>
      </c>
      <c r="H401" s="66">
        <v>1</v>
      </c>
      <c r="I401" s="66"/>
      <c r="N401" s="67"/>
      <c r="O401" s="15" t="s">
        <v>208</v>
      </c>
      <c r="P401" s="14">
        <f>MAX(P11:P397)</f>
        <v>10</v>
      </c>
    </row>
    <row r="403" spans="1:16" x14ac:dyDescent="0.2">
      <c r="G403" s="68" t="s">
        <v>33</v>
      </c>
      <c r="H403" s="68" t="s">
        <v>28</v>
      </c>
      <c r="N403" s="67"/>
    </row>
    <row r="404" spans="1:16" x14ac:dyDescent="0.2">
      <c r="A404" s="14">
        <f>'Deep Space Cals'!A64</f>
        <v>53</v>
      </c>
      <c r="F404" s="15" t="s">
        <v>209</v>
      </c>
      <c r="G404" s="398">
        <f>DAY(SUMPRODUCT(MAX((G$9:G397)*H401+(H$9:H397))))</f>
        <v>5</v>
      </c>
      <c r="H404" s="175">
        <f>SUMPRODUCT(MAX((G$9:G397)*H401+(H$9:H397)))-G404</f>
        <v>0.65069444444444358</v>
      </c>
      <c r="L404" s="67"/>
      <c r="N404" s="67">
        <f>SUM(N11:N397)</f>
        <v>10078.232999999995</v>
      </c>
    </row>
    <row r="405" spans="1:16" x14ac:dyDescent="0.2">
      <c r="A405" s="14">
        <f>Saturn!A41</f>
        <v>30</v>
      </c>
      <c r="N405" s="67"/>
    </row>
    <row r="406" spans="1:16" x14ac:dyDescent="0.2">
      <c r="A406" s="14">
        <f>'Icy Satellites'!A32</f>
        <v>21</v>
      </c>
      <c r="N406" s="67"/>
    </row>
    <row r="407" spans="1:16" x14ac:dyDescent="0.2">
      <c r="A407" s="14">
        <f>Titan!A60</f>
        <v>49</v>
      </c>
    </row>
    <row r="408" spans="1:16" x14ac:dyDescent="0.2">
      <c r="A408" s="14">
        <f>Rings!A51</f>
        <v>40</v>
      </c>
      <c r="H408" s="49"/>
    </row>
    <row r="409" spans="1:16" x14ac:dyDescent="0.2">
      <c r="H409" s="49"/>
    </row>
    <row r="410" spans="1:16" x14ac:dyDescent="0.2">
      <c r="A410" s="14">
        <f>SUM(A404:A408)</f>
        <v>193</v>
      </c>
      <c r="H410" s="49"/>
    </row>
    <row r="411" spans="1:16" x14ac:dyDescent="0.2">
      <c r="A411" s="14" t="str">
        <f>IF(A401=A410,"","Error")</f>
        <v/>
      </c>
      <c r="H411" s="49"/>
    </row>
    <row r="412" spans="1:16" x14ac:dyDescent="0.2">
      <c r="B412" s="14" t="s">
        <v>669</v>
      </c>
    </row>
    <row r="413" spans="1:16" x14ac:dyDescent="0.2">
      <c r="B413" s="14" t="s">
        <v>460</v>
      </c>
      <c r="H413" s="49"/>
    </row>
  </sheetData>
  <dataConsolidate/>
  <mergeCells count="8">
    <mergeCell ref="O5:O6"/>
    <mergeCell ref="P5:P6"/>
    <mergeCell ref="B5:B6"/>
    <mergeCell ref="C5:F5"/>
    <mergeCell ref="G5:H5"/>
    <mergeCell ref="I5:L5"/>
    <mergeCell ref="M5:M6"/>
    <mergeCell ref="N5:N6"/>
  </mergeCells>
  <conditionalFormatting sqref="G1:H1 G7:H256 G258:H397">
    <cfRule type="cellIs" dxfId="235" priority="18" stopIfTrue="1" operator="lessThan">
      <formula>0</formula>
    </cfRule>
  </conditionalFormatting>
  <conditionalFormatting sqref="A411">
    <cfRule type="cellIs" dxfId="234" priority="17" operator="notEqual">
      <formula>""</formula>
    </cfRule>
  </conditionalFormatting>
  <conditionalFormatting sqref="A371:P398 A370:N370 P370 A258:P369 A256 A257:B257 A1:P255 M257:P257 E256:L256 N256:P256">
    <cfRule type="expression" dxfId="233" priority="16">
      <formula>$O1=1</formula>
    </cfRule>
  </conditionalFormatting>
  <conditionalFormatting sqref="O1:O369 O371:O1048576">
    <cfRule type="cellIs" dxfId="232" priority="15" operator="equal">
      <formula>1</formula>
    </cfRule>
  </conditionalFormatting>
  <conditionalFormatting sqref="O370">
    <cfRule type="expression" dxfId="231" priority="12">
      <formula>$O370=1</formula>
    </cfRule>
  </conditionalFormatting>
  <conditionalFormatting sqref="O370">
    <cfRule type="cellIs" dxfId="230" priority="11" operator="equal">
      <formula>1</formula>
    </cfRule>
  </conditionalFormatting>
  <conditionalFormatting sqref="B256">
    <cfRule type="expression" dxfId="229" priority="10">
      <formula>$O256=1</formula>
    </cfRule>
  </conditionalFormatting>
  <conditionalFormatting sqref="C256">
    <cfRule type="expression" dxfId="228" priority="9">
      <formula>$O256=1</formula>
    </cfRule>
  </conditionalFormatting>
  <conditionalFormatting sqref="D256">
    <cfRule type="expression" dxfId="227" priority="8">
      <formula>$O256=1</formula>
    </cfRule>
  </conditionalFormatting>
  <conditionalFormatting sqref="C257:F257 I257:L257">
    <cfRule type="expression" dxfId="226" priority="6">
      <formula>$O257=1</formula>
    </cfRule>
  </conditionalFormatting>
  <conditionalFormatting sqref="M256">
    <cfRule type="expression" dxfId="225" priority="1">
      <formula>$O256=1</formula>
    </cfRule>
  </conditionalFormatting>
  <conditionalFormatting sqref="G257:H257">
    <cfRule type="cellIs" dxfId="224" priority="3" stopIfTrue="1" operator="lessThan">
      <formula>0</formula>
    </cfRule>
  </conditionalFormatting>
  <conditionalFormatting sqref="G257:H257">
    <cfRule type="expression" dxfId="223" priority="2">
      <formula>$O257=1</formula>
    </cfRule>
  </conditionalFormatting>
  <printOptions gridLines="1" gridLinesSet="0"/>
  <pageMargins left="0.75" right="0.75" top="1" bottom="1" header="0.51181102300000003" footer="0.51181102300000003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zoomScale="85" zoomScaleNormal="85" workbookViewId="0"/>
  </sheetViews>
  <sheetFormatPr defaultColWidth="11.375" defaultRowHeight="15" x14ac:dyDescent="0.2"/>
  <cols>
    <col min="1" max="1" width="6.375" style="14" bestFit="1" customWidth="1"/>
    <col min="2" max="2" width="53.625" style="14" bestFit="1" customWidth="1"/>
    <col min="3" max="7" width="16" style="14" customWidth="1"/>
    <col min="8" max="8" width="17.625" style="14" customWidth="1"/>
    <col min="9" max="11" width="16" style="14" customWidth="1"/>
    <col min="12" max="12" width="21.875" style="14" customWidth="1"/>
    <col min="13" max="13" width="17.25" style="14" customWidth="1"/>
    <col min="14" max="14" width="37.375" style="14" customWidth="1"/>
    <col min="15" max="15" width="31.625" style="14" bestFit="1" customWidth="1"/>
    <col min="16" max="16" width="34.375" style="14" bestFit="1" customWidth="1"/>
    <col min="17" max="17" width="61.375" style="14" bestFit="1" customWidth="1"/>
    <col min="18" max="18" width="29.375" style="14" customWidth="1"/>
    <col min="19" max="16384" width="11.375" style="14"/>
  </cols>
  <sheetData>
    <row r="1" spans="1:18" x14ac:dyDescent="0.2">
      <c r="A1" s="445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84">
        <v>750</v>
      </c>
      <c r="R2" s="70">
        <v>750</v>
      </c>
    </row>
    <row r="3" spans="1:18" x14ac:dyDescent="0.2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ht="15.75" thickBo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18" ht="21.6" customHeight="1" x14ac:dyDescent="0.2">
      <c r="A5" s="70"/>
      <c r="B5" s="587" t="s">
        <v>17</v>
      </c>
      <c r="C5" s="623" t="s">
        <v>18</v>
      </c>
      <c r="D5" s="604"/>
      <c r="E5" s="604"/>
      <c r="F5" s="594"/>
      <c r="G5" s="442" t="s">
        <v>19</v>
      </c>
      <c r="H5" s="623" t="s">
        <v>20</v>
      </c>
      <c r="I5" s="604"/>
      <c r="J5" s="604"/>
      <c r="K5" s="594"/>
      <c r="L5" s="589" t="s">
        <v>21</v>
      </c>
      <c r="M5" s="589" t="s">
        <v>22</v>
      </c>
      <c r="N5" s="587" t="s">
        <v>23</v>
      </c>
      <c r="O5" s="593" t="s">
        <v>24</v>
      </c>
      <c r="P5" s="628"/>
      <c r="Q5" s="594"/>
      <c r="R5" s="587" t="s">
        <v>37</v>
      </c>
    </row>
    <row r="6" spans="1:18" ht="21.6" customHeight="1" thickBot="1" x14ac:dyDescent="0.25">
      <c r="A6" s="70"/>
      <c r="B6" s="606"/>
      <c r="C6" s="190" t="s">
        <v>25</v>
      </c>
      <c r="D6" s="88" t="s">
        <v>26</v>
      </c>
      <c r="E6" s="88" t="s">
        <v>27</v>
      </c>
      <c r="F6" s="89" t="s">
        <v>28</v>
      </c>
      <c r="G6" s="89" t="s">
        <v>28</v>
      </c>
      <c r="H6" s="190" t="s">
        <v>25</v>
      </c>
      <c r="I6" s="87" t="s">
        <v>26</v>
      </c>
      <c r="J6" s="88" t="s">
        <v>27</v>
      </c>
      <c r="K6" s="89" t="s">
        <v>28</v>
      </c>
      <c r="L6" s="590"/>
      <c r="M6" s="590"/>
      <c r="N6" s="588"/>
      <c r="O6" s="86" t="s">
        <v>29</v>
      </c>
      <c r="P6" s="88" t="s">
        <v>30</v>
      </c>
      <c r="Q6" s="150" t="s">
        <v>31</v>
      </c>
      <c r="R6" s="588"/>
    </row>
    <row r="7" spans="1:18" x14ac:dyDescent="0.2">
      <c r="A7" s="70"/>
      <c r="B7" s="191"/>
      <c r="C7" s="192"/>
      <c r="D7" s="193"/>
      <c r="E7" s="193"/>
      <c r="F7" s="194"/>
      <c r="G7" s="195"/>
      <c r="H7" s="196"/>
      <c r="I7" s="197"/>
      <c r="J7" s="197"/>
      <c r="K7" s="198"/>
      <c r="L7" s="160"/>
      <c r="M7" s="160"/>
      <c r="N7" s="154"/>
      <c r="O7" s="199"/>
      <c r="P7" s="197"/>
      <c r="Q7" s="198"/>
      <c r="R7" s="200"/>
    </row>
    <row r="8" spans="1:18" x14ac:dyDescent="0.2">
      <c r="A8" s="83"/>
      <c r="B8" s="34" t="s">
        <v>361</v>
      </c>
      <c r="C8" s="35">
        <f t="shared" ref="C8:C30" si="0">DATE(D8,1,E8)</f>
        <v>42697</v>
      </c>
      <c r="D8" s="36">
        <v>2016</v>
      </c>
      <c r="E8" s="36">
        <v>328</v>
      </c>
      <c r="F8" s="37">
        <v>0.23819444444444446</v>
      </c>
      <c r="G8" s="201"/>
      <c r="H8" s="202"/>
      <c r="I8" s="203"/>
      <c r="J8" s="203"/>
      <c r="K8" s="204"/>
      <c r="L8" s="170"/>
      <c r="M8" s="170"/>
      <c r="N8" s="169"/>
      <c r="O8" s="205"/>
      <c r="P8" s="203"/>
      <c r="Q8" s="204"/>
      <c r="R8" s="206"/>
    </row>
    <row r="9" spans="1:18" x14ac:dyDescent="0.2">
      <c r="A9" s="21">
        <v>7</v>
      </c>
      <c r="B9" s="45" t="s">
        <v>378</v>
      </c>
      <c r="C9" s="35">
        <f t="shared" si="0"/>
        <v>42700</v>
      </c>
      <c r="D9" s="36">
        <v>2016</v>
      </c>
      <c r="E9" s="36">
        <v>331</v>
      </c>
      <c r="F9" s="37">
        <v>0.83333333333333304</v>
      </c>
      <c r="G9" s="178">
        <v>0.104166666666667</v>
      </c>
      <c r="H9" s="35">
        <f t="shared" ref="H9:H29" si="1">DATE(I9,1,J9)</f>
        <v>42700</v>
      </c>
      <c r="I9" s="36">
        <v>2016</v>
      </c>
      <c r="J9" s="36">
        <v>331</v>
      </c>
      <c r="K9" s="37">
        <v>0.9375</v>
      </c>
      <c r="L9" s="41">
        <v>4000</v>
      </c>
      <c r="M9" s="42">
        <v>36</v>
      </c>
      <c r="N9" s="179" t="s">
        <v>370</v>
      </c>
      <c r="O9" s="207"/>
      <c r="P9" s="208"/>
      <c r="Q9" s="182"/>
      <c r="R9" s="209">
        <f>VLOOKUP($B9,'CIRS Table IDs'!$B:$P,14,FALSE)</f>
        <v>405</v>
      </c>
    </row>
    <row r="10" spans="1:18" x14ac:dyDescent="0.2">
      <c r="A10" s="21">
        <v>8</v>
      </c>
      <c r="B10" s="45" t="s">
        <v>379</v>
      </c>
      <c r="C10" s="35">
        <f t="shared" si="0"/>
        <v>42700</v>
      </c>
      <c r="D10" s="36">
        <v>2016</v>
      </c>
      <c r="E10" s="36">
        <v>331</v>
      </c>
      <c r="F10" s="37">
        <v>0.9375</v>
      </c>
      <c r="G10" s="178">
        <v>0.104166666666667</v>
      </c>
      <c r="H10" s="35">
        <f t="shared" si="1"/>
        <v>42701</v>
      </c>
      <c r="I10" s="36">
        <v>2016</v>
      </c>
      <c r="J10" s="36">
        <v>332</v>
      </c>
      <c r="K10" s="37">
        <v>4.1666666666666699E-2</v>
      </c>
      <c r="L10" s="41">
        <v>4000</v>
      </c>
      <c r="M10" s="42">
        <v>36</v>
      </c>
      <c r="N10" s="179" t="s">
        <v>370</v>
      </c>
      <c r="O10" s="183"/>
      <c r="P10" s="184"/>
      <c r="Q10" s="210"/>
      <c r="R10" s="209">
        <f>VLOOKUP($B10,'CIRS Table IDs'!$B:$P,14,FALSE)</f>
        <v>405</v>
      </c>
    </row>
    <row r="11" spans="1:18" x14ac:dyDescent="0.2">
      <c r="A11" s="21">
        <v>9</v>
      </c>
      <c r="B11" s="45" t="s">
        <v>380</v>
      </c>
      <c r="C11" s="35">
        <f t="shared" si="0"/>
        <v>42701</v>
      </c>
      <c r="D11" s="36">
        <v>2016</v>
      </c>
      <c r="E11" s="36">
        <v>332</v>
      </c>
      <c r="F11" s="37">
        <v>4.1666666666666699E-2</v>
      </c>
      <c r="G11" s="178">
        <v>8.3333333333333301E-2</v>
      </c>
      <c r="H11" s="35">
        <f t="shared" si="1"/>
        <v>42701</v>
      </c>
      <c r="I11" s="36">
        <v>2016</v>
      </c>
      <c r="J11" s="36">
        <v>332</v>
      </c>
      <c r="K11" s="37">
        <v>0.125</v>
      </c>
      <c r="L11" s="41">
        <v>2200</v>
      </c>
      <c r="M11" s="42">
        <v>15.84</v>
      </c>
      <c r="N11" s="179" t="s">
        <v>366</v>
      </c>
      <c r="O11" s="183" t="s">
        <v>381</v>
      </c>
      <c r="P11" s="184" t="s">
        <v>382</v>
      </c>
      <c r="Q11" s="210"/>
      <c r="R11" s="209">
        <f>VLOOKUP($B11,'CIRS Table IDs'!$B:$P,14,FALSE)</f>
        <v>758</v>
      </c>
    </row>
    <row r="12" spans="1:18" x14ac:dyDescent="0.2">
      <c r="A12" s="21">
        <v>10</v>
      </c>
      <c r="B12" s="45" t="s">
        <v>384</v>
      </c>
      <c r="C12" s="35">
        <f t="shared" si="0"/>
        <v>42701</v>
      </c>
      <c r="D12" s="36">
        <v>2016</v>
      </c>
      <c r="E12" s="36">
        <v>332</v>
      </c>
      <c r="F12" s="37">
        <v>0.22847222222222199</v>
      </c>
      <c r="G12" s="178">
        <v>7.3611111111111099E-2</v>
      </c>
      <c r="H12" s="35">
        <f t="shared" si="1"/>
        <v>42701</v>
      </c>
      <c r="I12" s="36">
        <v>2016</v>
      </c>
      <c r="J12" s="36">
        <v>332</v>
      </c>
      <c r="K12" s="37">
        <v>0.30208333333333298</v>
      </c>
      <c r="L12" s="41">
        <v>4000</v>
      </c>
      <c r="M12" s="42">
        <v>25.44</v>
      </c>
      <c r="N12" s="179" t="s">
        <v>370</v>
      </c>
      <c r="O12" s="180" t="s">
        <v>363</v>
      </c>
      <c r="P12" s="181" t="s">
        <v>363</v>
      </c>
      <c r="Q12" s="210"/>
      <c r="R12" s="209">
        <f>VLOOKUP($B12,'CIRS Table IDs'!$B:$P,14,FALSE)</f>
        <v>759</v>
      </c>
    </row>
    <row r="13" spans="1:18" x14ac:dyDescent="0.2">
      <c r="A13" s="21">
        <v>11</v>
      </c>
      <c r="B13" s="45" t="s">
        <v>386</v>
      </c>
      <c r="C13" s="35">
        <f t="shared" si="0"/>
        <v>42701</v>
      </c>
      <c r="D13" s="36">
        <v>2016</v>
      </c>
      <c r="E13" s="36">
        <v>332</v>
      </c>
      <c r="F13" s="37">
        <v>0.30208333333333298</v>
      </c>
      <c r="G13" s="178">
        <v>0.11111111111111099</v>
      </c>
      <c r="H13" s="35">
        <f t="shared" si="1"/>
        <v>42701</v>
      </c>
      <c r="I13" s="36">
        <v>2016</v>
      </c>
      <c r="J13" s="36">
        <v>332</v>
      </c>
      <c r="K13" s="37">
        <v>0.41319444444444398</v>
      </c>
      <c r="L13" s="41">
        <v>4000</v>
      </c>
      <c r="M13" s="42">
        <v>38.4</v>
      </c>
      <c r="N13" s="179" t="s">
        <v>366</v>
      </c>
      <c r="O13" s="180" t="s">
        <v>381</v>
      </c>
      <c r="P13" s="181" t="s">
        <v>387</v>
      </c>
      <c r="Q13" s="210"/>
      <c r="R13" s="209">
        <f>VLOOKUP($B13,'CIRS Table IDs'!$B:$P,14,FALSE)</f>
        <v>760</v>
      </c>
    </row>
    <row r="14" spans="1:18" ht="30" x14ac:dyDescent="0.2">
      <c r="A14" s="21">
        <v>35</v>
      </c>
      <c r="B14" s="45" t="s">
        <v>419</v>
      </c>
      <c r="C14" s="35">
        <f t="shared" si="0"/>
        <v>42708</v>
      </c>
      <c r="D14" s="36">
        <v>2016</v>
      </c>
      <c r="E14" s="36">
        <v>339</v>
      </c>
      <c r="F14" s="37">
        <v>0.62361111111111101</v>
      </c>
      <c r="G14" s="178">
        <v>0.17708333333333301</v>
      </c>
      <c r="H14" s="35">
        <f t="shared" si="1"/>
        <v>42708</v>
      </c>
      <c r="I14" s="36">
        <v>2016</v>
      </c>
      <c r="J14" s="36">
        <v>339</v>
      </c>
      <c r="K14" s="37">
        <v>0.80069444444444404</v>
      </c>
      <c r="L14" s="41">
        <v>4000</v>
      </c>
      <c r="M14" s="42">
        <v>61.2</v>
      </c>
      <c r="N14" s="179" t="s">
        <v>366</v>
      </c>
      <c r="O14" s="180" t="s">
        <v>381</v>
      </c>
      <c r="P14" s="181" t="s">
        <v>399</v>
      </c>
      <c r="Q14" s="210" t="s">
        <v>420</v>
      </c>
      <c r="R14" s="209">
        <f>VLOOKUP($B14,'CIRS Table IDs'!$B:$P,14,FALSE)</f>
        <v>784</v>
      </c>
    </row>
    <row r="15" spans="1:18" x14ac:dyDescent="0.2">
      <c r="A15" s="21">
        <v>40</v>
      </c>
      <c r="B15" s="45" t="s">
        <v>431</v>
      </c>
      <c r="C15" s="35">
        <f t="shared" si="0"/>
        <v>42710</v>
      </c>
      <c r="D15" s="36">
        <v>2016</v>
      </c>
      <c r="E15" s="36">
        <v>341</v>
      </c>
      <c r="F15" s="37">
        <v>0.30277777777777798</v>
      </c>
      <c r="G15" s="178">
        <v>0.375</v>
      </c>
      <c r="H15" s="35">
        <f t="shared" si="1"/>
        <v>42710</v>
      </c>
      <c r="I15" s="36">
        <v>2016</v>
      </c>
      <c r="J15" s="36">
        <v>341</v>
      </c>
      <c r="K15" s="37">
        <v>0.67777777777777803</v>
      </c>
      <c r="L15" s="41">
        <v>4000</v>
      </c>
      <c r="M15" s="42">
        <v>129.6</v>
      </c>
      <c r="N15" s="179" t="s">
        <v>370</v>
      </c>
      <c r="O15" s="180" t="s">
        <v>363</v>
      </c>
      <c r="P15" s="181" t="s">
        <v>363</v>
      </c>
      <c r="Q15" s="210"/>
      <c r="R15" s="209">
        <f>VLOOKUP($B15,'CIRS Table IDs'!$B:$P,14,FALSE)</f>
        <v>405</v>
      </c>
    </row>
    <row r="16" spans="1:18" x14ac:dyDescent="0.2">
      <c r="A16" s="21">
        <v>66</v>
      </c>
      <c r="B16" s="45" t="s">
        <v>465</v>
      </c>
      <c r="C16" s="35">
        <f t="shared" si="0"/>
        <v>42722</v>
      </c>
      <c r="D16" s="36">
        <v>2016</v>
      </c>
      <c r="E16" s="36">
        <v>353</v>
      </c>
      <c r="F16" s="37">
        <v>0.83263888888888904</v>
      </c>
      <c r="G16" s="178">
        <v>7.9861111111111105E-2</v>
      </c>
      <c r="H16" s="35">
        <f t="shared" si="1"/>
        <v>42722</v>
      </c>
      <c r="I16" s="36">
        <v>2016</v>
      </c>
      <c r="J16" s="36">
        <v>353</v>
      </c>
      <c r="K16" s="37">
        <v>0.91249999999999998</v>
      </c>
      <c r="L16" s="41">
        <v>4000</v>
      </c>
      <c r="M16" s="42">
        <v>27.6</v>
      </c>
      <c r="N16" s="179" t="s">
        <v>370</v>
      </c>
      <c r="O16" s="180" t="s">
        <v>363</v>
      </c>
      <c r="P16" s="181" t="s">
        <v>363</v>
      </c>
      <c r="Q16" s="210"/>
      <c r="R16" s="209">
        <f>VLOOKUP($B16,'CIRS Table IDs'!$B:$P,14,FALSE)</f>
        <v>405</v>
      </c>
    </row>
    <row r="17" spans="1:18" ht="45" x14ac:dyDescent="0.2">
      <c r="A17" s="21">
        <v>80</v>
      </c>
      <c r="B17" s="45" t="s">
        <v>490</v>
      </c>
      <c r="C17" s="35">
        <f t="shared" si="0"/>
        <v>42727</v>
      </c>
      <c r="D17" s="36">
        <v>2016</v>
      </c>
      <c r="E17" s="36">
        <v>358</v>
      </c>
      <c r="F17" s="37">
        <v>0.42569444444444399</v>
      </c>
      <c r="G17" s="178">
        <v>0.33333333333333298</v>
      </c>
      <c r="H17" s="35">
        <f t="shared" si="1"/>
        <v>42727</v>
      </c>
      <c r="I17" s="36">
        <v>2016</v>
      </c>
      <c r="J17" s="36">
        <v>358</v>
      </c>
      <c r="K17" s="37">
        <v>0.75902777777777797</v>
      </c>
      <c r="L17" s="41">
        <v>4000</v>
      </c>
      <c r="M17" s="42">
        <v>115.2</v>
      </c>
      <c r="N17" s="179" t="s">
        <v>366</v>
      </c>
      <c r="O17" s="180" t="s">
        <v>491</v>
      </c>
      <c r="P17" s="181" t="s">
        <v>399</v>
      </c>
      <c r="Q17" s="210" t="s">
        <v>492</v>
      </c>
      <c r="R17" s="514">
        <f>VLOOKUP($B17,'CIRS Table IDs'!$B:$P,14,FALSE)</f>
        <v>211208829</v>
      </c>
    </row>
    <row r="18" spans="1:18" x14ac:dyDescent="0.2">
      <c r="A18" s="21">
        <v>85</v>
      </c>
      <c r="B18" s="45" t="s">
        <v>497</v>
      </c>
      <c r="C18" s="35">
        <f t="shared" si="0"/>
        <v>42730</v>
      </c>
      <c r="D18" s="36">
        <v>2016</v>
      </c>
      <c r="E18" s="36">
        <v>361</v>
      </c>
      <c r="F18" s="37">
        <v>0.125</v>
      </c>
      <c r="G18" s="178">
        <v>0.22916666666666699</v>
      </c>
      <c r="H18" s="35">
        <f t="shared" si="1"/>
        <v>42730</v>
      </c>
      <c r="I18" s="36">
        <v>2016</v>
      </c>
      <c r="J18" s="36">
        <v>361</v>
      </c>
      <c r="K18" s="37">
        <v>0.35416666666666702</v>
      </c>
      <c r="L18" s="41">
        <v>4000</v>
      </c>
      <c r="M18" s="42">
        <v>79.2</v>
      </c>
      <c r="N18" s="179" t="s">
        <v>366</v>
      </c>
      <c r="O18" s="180" t="s">
        <v>381</v>
      </c>
      <c r="P18" s="181" t="s">
        <v>387</v>
      </c>
      <c r="Q18" s="210"/>
      <c r="R18" s="209">
        <f>VLOOKUP($B18,'CIRS Table IDs'!$B:$P,14,FALSE)</f>
        <v>834</v>
      </c>
    </row>
    <row r="19" spans="1:18" x14ac:dyDescent="0.2">
      <c r="A19" s="21">
        <v>102</v>
      </c>
      <c r="B19" s="45" t="s">
        <v>520</v>
      </c>
      <c r="C19" s="35">
        <f t="shared" si="0"/>
        <v>42737</v>
      </c>
      <c r="D19" s="36">
        <v>2017</v>
      </c>
      <c r="E19" s="36">
        <v>2</v>
      </c>
      <c r="F19" s="37">
        <v>0.41666666666666702</v>
      </c>
      <c r="G19" s="178">
        <v>0.104166666666667</v>
      </c>
      <c r="H19" s="35">
        <f t="shared" si="1"/>
        <v>42737</v>
      </c>
      <c r="I19" s="36">
        <v>2017</v>
      </c>
      <c r="J19" s="36">
        <v>2</v>
      </c>
      <c r="K19" s="37">
        <v>0.52083333333333304</v>
      </c>
      <c r="L19" s="41">
        <v>4000</v>
      </c>
      <c r="M19" s="42">
        <v>36</v>
      </c>
      <c r="N19" s="179" t="s">
        <v>366</v>
      </c>
      <c r="O19" s="180" t="s">
        <v>381</v>
      </c>
      <c r="P19" s="181" t="s">
        <v>521</v>
      </c>
      <c r="Q19" s="182"/>
      <c r="R19" s="209">
        <f>VLOOKUP($B19,'CIRS Table IDs'!$B:$P,14,FALSE)</f>
        <v>851</v>
      </c>
    </row>
    <row r="20" spans="1:18" x14ac:dyDescent="0.2">
      <c r="A20" s="21">
        <v>117</v>
      </c>
      <c r="B20" s="45" t="s">
        <v>547</v>
      </c>
      <c r="C20" s="35">
        <f t="shared" si="0"/>
        <v>42743</v>
      </c>
      <c r="D20" s="36">
        <v>2017</v>
      </c>
      <c r="E20" s="36">
        <v>8</v>
      </c>
      <c r="F20" s="37">
        <v>0.39583333333333298</v>
      </c>
      <c r="G20" s="178">
        <v>3.4722222222222203E-2</v>
      </c>
      <c r="H20" s="35">
        <f t="shared" si="1"/>
        <v>42743</v>
      </c>
      <c r="I20" s="36">
        <v>2017</v>
      </c>
      <c r="J20" s="36">
        <v>8</v>
      </c>
      <c r="K20" s="37">
        <v>0.43055555555555602</v>
      </c>
      <c r="L20" s="41">
        <v>2200</v>
      </c>
      <c r="M20" s="42">
        <v>6.6</v>
      </c>
      <c r="N20" s="179" t="s">
        <v>370</v>
      </c>
      <c r="O20" s="180" t="s">
        <v>363</v>
      </c>
      <c r="P20" s="181" t="s">
        <v>363</v>
      </c>
      <c r="Q20" s="211" t="s">
        <v>363</v>
      </c>
      <c r="R20" s="209">
        <f>VLOOKUP($B20,'CIRS Table IDs'!$B:$P,14,FALSE)</f>
        <v>350</v>
      </c>
    </row>
    <row r="21" spans="1:18" x14ac:dyDescent="0.2">
      <c r="A21" s="21">
        <v>193</v>
      </c>
      <c r="B21" s="45" t="s">
        <v>691</v>
      </c>
      <c r="C21" s="35">
        <f t="shared" si="0"/>
        <v>42744</v>
      </c>
      <c r="D21" s="39">
        <v>2017</v>
      </c>
      <c r="E21" s="36">
        <v>9</v>
      </c>
      <c r="F21" s="37">
        <v>0.41319444444444442</v>
      </c>
      <c r="G21" s="178">
        <v>4.5138888888888895E-2</v>
      </c>
      <c r="H21" s="35">
        <f t="shared" si="1"/>
        <v>42744</v>
      </c>
      <c r="I21" s="47">
        <v>2017</v>
      </c>
      <c r="J21" s="36">
        <v>9</v>
      </c>
      <c r="K21" s="37">
        <v>0.45833333333333331</v>
      </c>
      <c r="L21" s="43">
        <v>3692.3</v>
      </c>
      <c r="M21" s="42">
        <v>14.4</v>
      </c>
      <c r="N21" s="179" t="s">
        <v>370</v>
      </c>
      <c r="O21" s="180"/>
      <c r="P21" s="181"/>
      <c r="Q21" s="211"/>
      <c r="R21" s="209">
        <v>872</v>
      </c>
    </row>
    <row r="22" spans="1:18" x14ac:dyDescent="0.2">
      <c r="A22" s="21">
        <v>145</v>
      </c>
      <c r="B22" s="45" t="s">
        <v>580</v>
      </c>
      <c r="C22" s="35">
        <f t="shared" si="0"/>
        <v>42751</v>
      </c>
      <c r="D22" s="36">
        <v>2017</v>
      </c>
      <c r="E22" s="36">
        <v>16</v>
      </c>
      <c r="F22" s="37">
        <v>0.48125000000000001</v>
      </c>
      <c r="G22" s="178">
        <v>0.104166666666667</v>
      </c>
      <c r="H22" s="35">
        <f t="shared" si="1"/>
        <v>42751</v>
      </c>
      <c r="I22" s="36">
        <v>2017</v>
      </c>
      <c r="J22" s="36">
        <v>16</v>
      </c>
      <c r="K22" s="37">
        <v>0.58541666666666703</v>
      </c>
      <c r="L22" s="41">
        <v>4000</v>
      </c>
      <c r="M22" s="42">
        <v>36</v>
      </c>
      <c r="N22" s="179" t="s">
        <v>370</v>
      </c>
      <c r="O22" s="183"/>
      <c r="P22" s="184"/>
      <c r="Q22" s="210"/>
      <c r="R22" s="209">
        <f>VLOOKUP($B22,'CIRS Table IDs'!$B:$P,14,FALSE)</f>
        <v>894</v>
      </c>
    </row>
    <row r="23" spans="1:18" x14ac:dyDescent="0.2">
      <c r="A23" s="21">
        <v>171</v>
      </c>
      <c r="B23" s="45" t="s">
        <v>607</v>
      </c>
      <c r="C23" s="35">
        <f t="shared" si="0"/>
        <v>42765</v>
      </c>
      <c r="D23" s="36">
        <v>2017</v>
      </c>
      <c r="E23" s="36">
        <v>30</v>
      </c>
      <c r="F23" s="37">
        <v>0.15138888888888899</v>
      </c>
      <c r="G23" s="178">
        <v>0.11111111111111099</v>
      </c>
      <c r="H23" s="35">
        <f t="shared" si="1"/>
        <v>42765</v>
      </c>
      <c r="I23" s="36">
        <v>2017</v>
      </c>
      <c r="J23" s="36">
        <v>30</v>
      </c>
      <c r="K23" s="37">
        <v>0.26250000000000001</v>
      </c>
      <c r="L23" s="41">
        <v>4000</v>
      </c>
      <c r="M23" s="42">
        <v>38.4</v>
      </c>
      <c r="N23" s="179" t="s">
        <v>370</v>
      </c>
      <c r="O23" s="183"/>
      <c r="P23" s="184"/>
      <c r="Q23" s="210"/>
      <c r="R23" s="209">
        <f>VLOOKUP($B23,'CIRS Table IDs'!$B:$P,14,FALSE)</f>
        <v>405</v>
      </c>
    </row>
    <row r="24" spans="1:18" x14ac:dyDescent="0.2">
      <c r="A24" s="21">
        <v>172</v>
      </c>
      <c r="B24" s="45" t="s">
        <v>608</v>
      </c>
      <c r="C24" s="35">
        <f t="shared" si="0"/>
        <v>42765</v>
      </c>
      <c r="D24" s="36">
        <v>2017</v>
      </c>
      <c r="E24" s="36">
        <v>30</v>
      </c>
      <c r="F24" s="37">
        <v>0.26250000000000001</v>
      </c>
      <c r="G24" s="178">
        <v>6.0416666666666702E-2</v>
      </c>
      <c r="H24" s="35">
        <f t="shared" si="1"/>
        <v>42765</v>
      </c>
      <c r="I24" s="36">
        <v>2017</v>
      </c>
      <c r="J24" s="36">
        <v>30</v>
      </c>
      <c r="K24" s="37">
        <v>0.32291666666666702</v>
      </c>
      <c r="L24" s="41">
        <v>4000</v>
      </c>
      <c r="M24" s="42">
        <v>20.88</v>
      </c>
      <c r="N24" s="179" t="s">
        <v>370</v>
      </c>
      <c r="O24" s="180" t="s">
        <v>363</v>
      </c>
      <c r="P24" s="181" t="s">
        <v>363</v>
      </c>
      <c r="Q24" s="210"/>
      <c r="R24" s="209">
        <f>VLOOKUP($B24,'CIRS Table IDs'!$B:$P,14,FALSE)</f>
        <v>405</v>
      </c>
    </row>
    <row r="25" spans="1:18" x14ac:dyDescent="0.2">
      <c r="A25" s="21">
        <v>174</v>
      </c>
      <c r="B25" s="45" t="s">
        <v>610</v>
      </c>
      <c r="C25" s="35">
        <f t="shared" si="0"/>
        <v>42765</v>
      </c>
      <c r="D25" s="36">
        <v>2017</v>
      </c>
      <c r="E25" s="36">
        <v>30</v>
      </c>
      <c r="F25" s="37">
        <v>0.78125</v>
      </c>
      <c r="G25" s="178">
        <v>2.5694444444444402E-2</v>
      </c>
      <c r="H25" s="35">
        <f t="shared" si="1"/>
        <v>42765</v>
      </c>
      <c r="I25" s="36">
        <v>2017</v>
      </c>
      <c r="J25" s="36">
        <v>30</v>
      </c>
      <c r="K25" s="37">
        <v>0.80694444444444402</v>
      </c>
      <c r="L25" s="41">
        <v>4000</v>
      </c>
      <c r="M25" s="42">
        <v>8.8800000000000008</v>
      </c>
      <c r="N25" s="179" t="s">
        <v>370</v>
      </c>
      <c r="O25" s="180" t="s">
        <v>363</v>
      </c>
      <c r="P25" s="181" t="s">
        <v>363</v>
      </c>
      <c r="Q25" s="210"/>
      <c r="R25" s="209">
        <f>VLOOKUP($B25,'CIRS Table IDs'!$B:$P,14,FALSE)</f>
        <v>355</v>
      </c>
    </row>
    <row r="26" spans="1:18" x14ac:dyDescent="0.2">
      <c r="A26" s="21">
        <v>175</v>
      </c>
      <c r="B26" s="45" t="s">
        <v>611</v>
      </c>
      <c r="C26" s="35">
        <f t="shared" si="0"/>
        <v>42765</v>
      </c>
      <c r="D26" s="36">
        <v>2017</v>
      </c>
      <c r="E26" s="36">
        <v>30</v>
      </c>
      <c r="F26" s="37">
        <v>0.80694444444444402</v>
      </c>
      <c r="G26" s="178">
        <v>7.6388888888888895E-2</v>
      </c>
      <c r="H26" s="35">
        <f t="shared" si="1"/>
        <v>42765</v>
      </c>
      <c r="I26" s="36">
        <v>2017</v>
      </c>
      <c r="J26" s="36">
        <v>30</v>
      </c>
      <c r="K26" s="37">
        <v>0.88333333333333297</v>
      </c>
      <c r="L26" s="41">
        <v>4000</v>
      </c>
      <c r="M26" s="42">
        <v>26.4</v>
      </c>
      <c r="N26" s="179" t="s">
        <v>370</v>
      </c>
      <c r="O26" s="180" t="s">
        <v>363</v>
      </c>
      <c r="P26" s="181" t="s">
        <v>363</v>
      </c>
      <c r="Q26" s="210"/>
      <c r="R26" s="209">
        <f>VLOOKUP($B26,'CIRS Table IDs'!$B:$P,14,FALSE)</f>
        <v>405</v>
      </c>
    </row>
    <row r="27" spans="1:18" x14ac:dyDescent="0.2">
      <c r="A27" s="21">
        <v>176</v>
      </c>
      <c r="B27" s="45" t="s">
        <v>612</v>
      </c>
      <c r="C27" s="35">
        <f t="shared" si="0"/>
        <v>42765</v>
      </c>
      <c r="D27" s="36">
        <v>2017</v>
      </c>
      <c r="E27" s="36">
        <v>30</v>
      </c>
      <c r="F27" s="37">
        <v>0.88333333333333297</v>
      </c>
      <c r="G27" s="178">
        <v>8.8888888888888906E-2</v>
      </c>
      <c r="H27" s="35">
        <f t="shared" si="1"/>
        <v>42765</v>
      </c>
      <c r="I27" s="36">
        <v>2017</v>
      </c>
      <c r="J27" s="36">
        <v>30</v>
      </c>
      <c r="K27" s="37">
        <v>0.97222222222222199</v>
      </c>
      <c r="L27" s="41">
        <v>4000</v>
      </c>
      <c r="M27" s="42">
        <v>30.72</v>
      </c>
      <c r="N27" s="179" t="s">
        <v>370</v>
      </c>
      <c r="O27" s="180" t="s">
        <v>363</v>
      </c>
      <c r="P27" s="181" t="s">
        <v>363</v>
      </c>
      <c r="Q27" s="210"/>
      <c r="R27" s="209">
        <f>VLOOKUP($B27,'CIRS Table IDs'!$B:$P,14,FALSE)</f>
        <v>405</v>
      </c>
    </row>
    <row r="28" spans="1:18" x14ac:dyDescent="0.2">
      <c r="A28" s="21">
        <v>177</v>
      </c>
      <c r="B28" s="45" t="s">
        <v>613</v>
      </c>
      <c r="C28" s="35">
        <f t="shared" si="0"/>
        <v>42765</v>
      </c>
      <c r="D28" s="36">
        <v>2017</v>
      </c>
      <c r="E28" s="36">
        <v>30</v>
      </c>
      <c r="F28" s="37">
        <v>0.97222222222222199</v>
      </c>
      <c r="G28" s="178">
        <v>0.36111111111111099</v>
      </c>
      <c r="H28" s="35">
        <f t="shared" si="1"/>
        <v>42766</v>
      </c>
      <c r="I28" s="36">
        <v>2017</v>
      </c>
      <c r="J28" s="36">
        <v>31</v>
      </c>
      <c r="K28" s="37">
        <v>0.33333333333333298</v>
      </c>
      <c r="L28" s="41">
        <v>4000</v>
      </c>
      <c r="M28" s="42">
        <v>124.8</v>
      </c>
      <c r="N28" s="179" t="s">
        <v>366</v>
      </c>
      <c r="O28" s="180" t="s">
        <v>614</v>
      </c>
      <c r="P28" s="181" t="s">
        <v>387</v>
      </c>
      <c r="Q28" s="211" t="s">
        <v>363</v>
      </c>
      <c r="R28" s="209">
        <f>VLOOKUP($B28,'CIRS Table IDs'!$B:$P,14,FALSE)</f>
        <v>926</v>
      </c>
    </row>
    <row r="29" spans="1:18" ht="15.75" thickBot="1" x14ac:dyDescent="0.25">
      <c r="A29" s="21">
        <v>179</v>
      </c>
      <c r="B29" s="45" t="s">
        <v>617</v>
      </c>
      <c r="C29" s="35">
        <f t="shared" si="0"/>
        <v>42766</v>
      </c>
      <c r="D29" s="36">
        <v>2017</v>
      </c>
      <c r="E29" s="36">
        <v>31</v>
      </c>
      <c r="F29" s="37">
        <v>0.469444444444444</v>
      </c>
      <c r="G29" s="178">
        <v>0.20833333333333301</v>
      </c>
      <c r="H29" s="35">
        <f t="shared" si="1"/>
        <v>42766</v>
      </c>
      <c r="I29" s="36">
        <v>2017</v>
      </c>
      <c r="J29" s="36">
        <v>31</v>
      </c>
      <c r="K29" s="37">
        <v>0.67777777777777803</v>
      </c>
      <c r="L29" s="41">
        <v>2200</v>
      </c>
      <c r="M29" s="42">
        <v>39.6</v>
      </c>
      <c r="N29" s="179" t="s">
        <v>366</v>
      </c>
      <c r="O29" s="212" t="s">
        <v>618</v>
      </c>
      <c r="P29" s="213" t="s">
        <v>619</v>
      </c>
      <c r="Q29" s="214" t="s">
        <v>363</v>
      </c>
      <c r="R29" s="209" t="str">
        <f>VLOOKUP($B29,'CIRS Table IDs'!$B:$P,14,FALSE)</f>
        <v>228,225,205,202,225,228</v>
      </c>
    </row>
    <row r="30" spans="1:18" ht="15.75" thickBot="1" x14ac:dyDescent="0.25">
      <c r="A30" s="83"/>
      <c r="B30" s="50" t="s">
        <v>362</v>
      </c>
      <c r="C30" s="51">
        <f t="shared" si="0"/>
        <v>42769</v>
      </c>
      <c r="D30" s="52">
        <v>2017</v>
      </c>
      <c r="E30" s="52">
        <v>34</v>
      </c>
      <c r="F30" s="53">
        <v>0.2951388888888889</v>
      </c>
      <c r="G30" s="215"/>
      <c r="H30" s="119"/>
      <c r="I30" s="120"/>
      <c r="J30" s="120"/>
      <c r="K30" s="118"/>
      <c r="L30" s="121"/>
      <c r="M30" s="120"/>
      <c r="N30" s="216"/>
      <c r="O30" s="117"/>
      <c r="P30" s="117"/>
      <c r="Q30" s="117"/>
      <c r="R30" s="122" t="str">
        <f>IF(MID(B30,6,7)="NO_DATA",50,IF(A30=""," ",$R$2+A30-1))</f>
        <v xml:space="preserve"> </v>
      </c>
    </row>
    <row r="31" spans="1:18" x14ac:dyDescent="0.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</row>
    <row r="32" spans="1:18" x14ac:dyDescent="0.2">
      <c r="A32" s="70">
        <f>COUNTA(A9:A30)</f>
        <v>21</v>
      </c>
      <c r="B32" s="70" t="s">
        <v>254</v>
      </c>
      <c r="C32" s="70"/>
      <c r="D32" s="70"/>
      <c r="E32" s="84" t="s">
        <v>246</v>
      </c>
      <c r="F32" s="70">
        <f>DAY(G32)</f>
        <v>2</v>
      </c>
      <c r="G32" s="124">
        <f>SUM(G9:G29)</f>
        <v>2.8909722222222225</v>
      </c>
      <c r="H32" s="217"/>
      <c r="I32" s="70"/>
      <c r="J32" s="70"/>
      <c r="K32" s="70"/>
      <c r="L32" s="84" t="s">
        <v>217</v>
      </c>
      <c r="M32" s="127">
        <f>SUM(M9:M29)</f>
        <v>947.16</v>
      </c>
      <c r="N32" s="70" t="s">
        <v>35</v>
      </c>
      <c r="O32" s="70"/>
      <c r="P32" s="70"/>
      <c r="Q32" s="70"/>
      <c r="R32" s="84"/>
    </row>
    <row r="33" spans="1:18" x14ac:dyDescent="0.2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</row>
    <row r="34" spans="1:18" x14ac:dyDescent="0.2">
      <c r="A34" s="70"/>
      <c r="B34" s="218"/>
      <c r="C34" s="70"/>
      <c r="D34" s="219"/>
      <c r="E34" s="84" t="s">
        <v>247</v>
      </c>
      <c r="F34" s="70">
        <f>DAY(G34)</f>
        <v>2</v>
      </c>
      <c r="G34" s="123">
        <f>G32</f>
        <v>2.8909722222222225</v>
      </c>
      <c r="H34" s="123"/>
      <c r="I34" s="70"/>
      <c r="J34" s="70"/>
      <c r="K34" s="70"/>
      <c r="L34" s="70"/>
      <c r="M34" s="70"/>
      <c r="N34" s="70"/>
      <c r="O34" s="70"/>
      <c r="P34" s="70"/>
      <c r="Q34" s="70"/>
      <c r="R34" s="70"/>
    </row>
    <row r="35" spans="1:18" ht="15.75" thickBot="1" x14ac:dyDescent="0.2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82"/>
      <c r="Q35" s="70"/>
      <c r="R35" s="70"/>
    </row>
    <row r="36" spans="1:18" ht="21.6" customHeight="1" x14ac:dyDescent="0.2">
      <c r="A36" s="70"/>
      <c r="B36" s="587" t="s">
        <v>17</v>
      </c>
      <c r="C36" s="587" t="s">
        <v>227</v>
      </c>
      <c r="D36" s="593" t="s">
        <v>255</v>
      </c>
      <c r="E36" s="604"/>
      <c r="F36" s="594"/>
      <c r="G36" s="589" t="s">
        <v>228</v>
      </c>
      <c r="H36" s="593" t="s">
        <v>249</v>
      </c>
      <c r="I36" s="594"/>
      <c r="J36" s="587" t="s">
        <v>19</v>
      </c>
      <c r="K36" s="587" t="s">
        <v>256</v>
      </c>
      <c r="L36" s="614" t="s">
        <v>312</v>
      </c>
      <c r="M36" s="608" t="s">
        <v>313</v>
      </c>
      <c r="N36" s="624" t="s">
        <v>213</v>
      </c>
      <c r="O36" s="616" t="s">
        <v>211</v>
      </c>
      <c r="P36" s="616" t="s">
        <v>251</v>
      </c>
      <c r="Q36" s="616" t="s">
        <v>315</v>
      </c>
    </row>
    <row r="37" spans="1:18" ht="21.6" customHeight="1" thickBot="1" x14ac:dyDescent="0.25">
      <c r="A37" s="70"/>
      <c r="B37" s="588"/>
      <c r="C37" s="588"/>
      <c r="D37" s="86" t="s">
        <v>11</v>
      </c>
      <c r="E37" s="88" t="s">
        <v>12</v>
      </c>
      <c r="F37" s="89" t="s">
        <v>13</v>
      </c>
      <c r="G37" s="590"/>
      <c r="H37" s="86" t="s">
        <v>12</v>
      </c>
      <c r="I37" s="89" t="s">
        <v>13</v>
      </c>
      <c r="J37" s="588"/>
      <c r="K37" s="588"/>
      <c r="L37" s="627"/>
      <c r="M37" s="626"/>
      <c r="N37" s="625"/>
      <c r="O37" s="617"/>
      <c r="P37" s="617"/>
      <c r="Q37" s="617"/>
    </row>
    <row r="38" spans="1:18" x14ac:dyDescent="0.2">
      <c r="A38" s="70"/>
      <c r="B38" s="91"/>
      <c r="C38" s="91"/>
      <c r="D38" s="416"/>
      <c r="E38" s="417"/>
      <c r="F38" s="418"/>
      <c r="G38" s="420"/>
      <c r="H38" s="416"/>
      <c r="I38" s="418"/>
      <c r="J38" s="422"/>
      <c r="K38" s="405"/>
      <c r="L38" s="466"/>
      <c r="M38" s="467"/>
      <c r="N38" s="454"/>
      <c r="O38" s="222"/>
      <c r="P38" s="222"/>
      <c r="Q38" s="70"/>
    </row>
    <row r="39" spans="1:18" x14ac:dyDescent="0.2">
      <c r="A39" s="83">
        <f t="shared" ref="A39:B59" si="2">A9</f>
        <v>7</v>
      </c>
      <c r="B39" s="223" t="str">
        <f t="shared" si="2"/>
        <v>CIRS_250DI_ICYLON001_UVIS</v>
      </c>
      <c r="C39" s="276" t="str">
        <f t="shared" ref="C39:C59" si="3">IF(L9=2000,"Co-add",IF(L9=4000,"No Co-add",L9))</f>
        <v>No Co-add</v>
      </c>
      <c r="D39" s="412" t="str">
        <f>IF($K39&lt;192,"",IF($K39&gt;597,"",IF(VLOOKUP($K39,'CIRS Table Info'!$B$6:$J$425,4,FALSE)="Data",VLOOKUP($K39,'CIRS Table Info'!$B$6:$J$425,3,FALSE),"")))</f>
        <v>No Co-add</v>
      </c>
      <c r="E39" s="413" t="str">
        <f>IF($K39&lt;192,"",IF($K39&gt;597,"",IF(VLOOKUP($K39,'CIRS Table Info'!$B$6:$J$425,5,FALSE)="Data",VLOOKUP($K39,'CIRS Table Info'!$B$6:$J$425,3,FALSE),"")))</f>
        <v>No Co-add</v>
      </c>
      <c r="F39" s="414" t="str">
        <f>IF($K39&lt;192,"",IF($K39&gt;597,"",IF(VLOOKUP($K39,'CIRS Table Info'!$B$6:$J$425,7,FALSE)="Data",VLOOKUP($K39,'CIRS Table Info'!$B$6:$J$425,3,FALSE),"")))</f>
        <v>No Co-add</v>
      </c>
      <c r="G39" s="367">
        <f>IF($K39&lt;192,"",IF($K39&gt;597,"",VLOOKUP($K39,'CIRS Table Info'!$B$6:$J$425,2,FALSE)))</f>
        <v>15.67</v>
      </c>
      <c r="H39" s="412" t="str">
        <f>IF($K39&lt;192,"",IF($K39&gt;597,"",VLOOKUP($K39,'CIRS Table Info'!$B$6:$J$425,6,FALSE)))</f>
        <v>Blink</v>
      </c>
      <c r="I39" s="414" t="str">
        <f>IF($K39&lt;192,"",IF($K39&gt;597,"",VLOOKUP($K39,'CIRS Table Info'!$B$6:$J$425,8,FALSE)))</f>
        <v>Blink</v>
      </c>
      <c r="J39" s="423">
        <f t="shared" ref="J39:J50" si="4">G9</f>
        <v>0.104166666666667</v>
      </c>
      <c r="K39" s="141">
        <f t="shared" ref="K39:K59" si="5">VALUE(LEFT(R9,3))</f>
        <v>405</v>
      </c>
      <c r="L39" s="468">
        <f>VLOOKUP($B39,'CIRS Table IDs'!$B:$P,15,FALSE)</f>
        <v>2</v>
      </c>
      <c r="M39" s="415">
        <f>IF($K39&lt;192,"",IF($K39&gt;597,"",VLOOKUP($K39,'CIRS Table Info'!$B$6:$K$425,10,FALSE)))</f>
        <v>2</v>
      </c>
      <c r="N39" s="502"/>
      <c r="O39" s="222"/>
      <c r="P39" s="83">
        <f t="shared" ref="P39:P59" si="6">IF(K39&lt;=597,1,0)</f>
        <v>1</v>
      </c>
      <c r="Q39" s="70" t="str">
        <f t="shared" ref="Q39:Q50" si="7">IF($R9&lt;200,"",IF($R9&gt;=300,"",IF(MOD(MOD($R9,25)-3,6)&lt;3,"Yes","")))</f>
        <v/>
      </c>
    </row>
    <row r="40" spans="1:18" x14ac:dyDescent="0.2">
      <c r="A40" s="83">
        <f t="shared" si="2"/>
        <v>8</v>
      </c>
      <c r="B40" s="223" t="str">
        <f t="shared" si="2"/>
        <v>CIRS_250TE_ICYLON001_UVIS</v>
      </c>
      <c r="C40" s="276" t="str">
        <f t="shared" si="3"/>
        <v>No Co-add</v>
      </c>
      <c r="D40" s="412" t="str">
        <f>IF($K40&lt;192,"",IF($K40&gt;597,"",IF(VLOOKUP($K40,'CIRS Table Info'!$B$6:$J$425,4,FALSE)="Data",VLOOKUP($K40,'CIRS Table Info'!$B$6:$J$425,3,FALSE),"")))</f>
        <v>No Co-add</v>
      </c>
      <c r="E40" s="413" t="str">
        <f>IF($K40&lt;192,"",IF($K40&gt;597,"",IF(VLOOKUP($K40,'CIRS Table Info'!$B$6:$J$425,5,FALSE)="Data",VLOOKUP($K40,'CIRS Table Info'!$B$6:$J$425,3,FALSE),"")))</f>
        <v>No Co-add</v>
      </c>
      <c r="F40" s="414" t="str">
        <f>IF($K40&lt;192,"",IF($K40&gt;597,"",IF(VLOOKUP($K40,'CIRS Table Info'!$B$6:$J$425,7,FALSE)="Data",VLOOKUP($K40,'CIRS Table Info'!$B$6:$J$425,3,FALSE),"")))</f>
        <v>No Co-add</v>
      </c>
      <c r="G40" s="367">
        <f>IF($K40&lt;192,"",IF($K40&gt;597,"",VLOOKUP($K40,'CIRS Table Info'!$B$6:$J$425,2,FALSE)))</f>
        <v>15.67</v>
      </c>
      <c r="H40" s="412" t="str">
        <f>IF($K40&lt;192,"",IF($K40&gt;597,"",VLOOKUP($K40,'CIRS Table Info'!$B$6:$J$425,6,FALSE)))</f>
        <v>Blink</v>
      </c>
      <c r="I40" s="414" t="str">
        <f>IF($K40&lt;192,"",IF($K40&gt;597,"",VLOOKUP($K40,'CIRS Table Info'!$B$6:$J$425,8,FALSE)))</f>
        <v>Blink</v>
      </c>
      <c r="J40" s="423">
        <f t="shared" si="4"/>
        <v>0.104166666666667</v>
      </c>
      <c r="K40" s="141">
        <f t="shared" si="5"/>
        <v>405</v>
      </c>
      <c r="L40" s="468">
        <f>VLOOKUP($B40,'CIRS Table IDs'!$B:$P,15,FALSE)</f>
        <v>2</v>
      </c>
      <c r="M40" s="415">
        <f>IF($K40&lt;192,"",IF($K40&gt;597,"",VLOOKUP($K40,'CIRS Table Info'!$B$6:$K$425,10,FALSE)))</f>
        <v>2</v>
      </c>
      <c r="N40" s="502"/>
      <c r="O40" s="222"/>
      <c r="P40" s="83">
        <f t="shared" si="6"/>
        <v>1</v>
      </c>
      <c r="Q40" s="70" t="str">
        <f t="shared" si="7"/>
        <v/>
      </c>
    </row>
    <row r="41" spans="1:18" ht="75" x14ac:dyDescent="0.2">
      <c r="A41" s="83">
        <f t="shared" si="2"/>
        <v>9</v>
      </c>
      <c r="B41" s="223" t="str">
        <f t="shared" si="2"/>
        <v>CIRS_250EN_NORTHPOLE001_PRIME</v>
      </c>
      <c r="C41" s="276">
        <f t="shared" si="3"/>
        <v>2200</v>
      </c>
      <c r="D41" s="412" t="s">
        <v>307</v>
      </c>
      <c r="E41" s="413" t="s">
        <v>307</v>
      </c>
      <c r="F41" s="414" t="str">
        <f>IF($K41&lt;192,"",IF($K41&gt;597,"",IF(VLOOKUP($K41,'CIRS Table Info'!$B$6:$J$425,7,FALSE)="Data",VLOOKUP($K41,'CIRS Table Info'!$B$6:$J$425,3,FALSE),"")))</f>
        <v/>
      </c>
      <c r="G41" s="367">
        <v>15.67</v>
      </c>
      <c r="H41" s="412" t="s">
        <v>5</v>
      </c>
      <c r="I41" s="414" t="s">
        <v>311</v>
      </c>
      <c r="J41" s="423">
        <f t="shared" si="4"/>
        <v>8.3333333333333301E-2</v>
      </c>
      <c r="K41" s="141">
        <f t="shared" si="5"/>
        <v>758</v>
      </c>
      <c r="L41" s="468">
        <f>VLOOKUP($B41,'CIRS Table IDs'!$B:$P,15,FALSE)</f>
        <v>1</v>
      </c>
      <c r="M41" s="415" t="str">
        <f>IF($K41&lt;192,"",IF($K41&gt;597,"",VLOOKUP($K41,'CIRS Table Info'!$B$6:$K$425,10,FALSE)))</f>
        <v/>
      </c>
      <c r="N41" s="503" t="s">
        <v>383</v>
      </c>
      <c r="O41" s="222"/>
      <c r="P41" s="83">
        <f t="shared" si="6"/>
        <v>0</v>
      </c>
      <c r="Q41" s="70" t="str">
        <f t="shared" si="7"/>
        <v/>
      </c>
    </row>
    <row r="42" spans="1:18" ht="75" x14ac:dyDescent="0.2">
      <c r="A42" s="83">
        <f t="shared" si="2"/>
        <v>10</v>
      </c>
      <c r="B42" s="223" t="str">
        <f t="shared" si="2"/>
        <v>CIRS_250EN_ENCELNPOL001_ISS</v>
      </c>
      <c r="C42" s="276" t="str">
        <f t="shared" si="3"/>
        <v>No Co-add</v>
      </c>
      <c r="D42" s="412" t="s">
        <v>307</v>
      </c>
      <c r="E42" s="413" t="s">
        <v>307</v>
      </c>
      <c r="F42" s="414" t="s">
        <v>307</v>
      </c>
      <c r="G42" s="367">
        <v>15.67</v>
      </c>
      <c r="H42" s="412" t="s">
        <v>5</v>
      </c>
      <c r="I42" s="414" t="s">
        <v>5</v>
      </c>
      <c r="J42" s="423">
        <f t="shared" si="4"/>
        <v>7.3611111111111099E-2</v>
      </c>
      <c r="K42" s="141">
        <f t="shared" si="5"/>
        <v>759</v>
      </c>
      <c r="L42" s="468">
        <f>VLOOKUP($B42,'CIRS Table IDs'!$B:$P,15,FALSE)</f>
        <v>1</v>
      </c>
      <c r="M42" s="415" t="str">
        <f>IF($K42&lt;192,"",IF($K42&gt;597,"",VLOOKUP($K42,'CIRS Table Info'!$B$6:$K$425,10,FALSE)))</f>
        <v/>
      </c>
      <c r="N42" s="503" t="s">
        <v>385</v>
      </c>
      <c r="O42" s="222"/>
      <c r="P42" s="83">
        <f t="shared" si="6"/>
        <v>0</v>
      </c>
      <c r="Q42" s="70" t="str">
        <f t="shared" si="7"/>
        <v/>
      </c>
    </row>
    <row r="43" spans="1:18" ht="75" x14ac:dyDescent="0.2">
      <c r="A43" s="83">
        <f t="shared" si="2"/>
        <v>11</v>
      </c>
      <c r="B43" s="223" t="str">
        <f t="shared" si="2"/>
        <v>CIRS_250EN_ENCELSPOL001_PRIME</v>
      </c>
      <c r="C43" s="276" t="str">
        <f t="shared" si="3"/>
        <v>No Co-add</v>
      </c>
      <c r="D43" s="412" t="s">
        <v>307</v>
      </c>
      <c r="E43" s="413" t="s">
        <v>307</v>
      </c>
      <c r="F43" s="414" t="s">
        <v>307</v>
      </c>
      <c r="G43" s="367">
        <v>15.67</v>
      </c>
      <c r="H43" s="412" t="s">
        <v>5</v>
      </c>
      <c r="I43" s="414" t="s">
        <v>5</v>
      </c>
      <c r="J43" s="423">
        <f t="shared" si="4"/>
        <v>0.11111111111111099</v>
      </c>
      <c r="K43" s="141">
        <f t="shared" si="5"/>
        <v>760</v>
      </c>
      <c r="L43" s="468">
        <f>VLOOKUP($B43,'CIRS Table IDs'!$B:$P,15,FALSE)</f>
        <v>1</v>
      </c>
      <c r="M43" s="415" t="str">
        <f>IF($K43&lt;192,"",IF($K43&gt;597,"",VLOOKUP($K43,'CIRS Table Info'!$B$6:$K$425,10,FALSE)))</f>
        <v/>
      </c>
      <c r="N43" s="503" t="s">
        <v>388</v>
      </c>
      <c r="O43" s="222"/>
      <c r="P43" s="83">
        <f t="shared" si="6"/>
        <v>0</v>
      </c>
      <c r="Q43" s="70" t="str">
        <f t="shared" si="7"/>
        <v/>
      </c>
    </row>
    <row r="44" spans="1:18" ht="90" x14ac:dyDescent="0.2">
      <c r="A44" s="83">
        <f t="shared" si="2"/>
        <v>35</v>
      </c>
      <c r="B44" s="223" t="str">
        <f t="shared" si="2"/>
        <v>CIRS_251EN_SPXREDTE001_PIE</v>
      </c>
      <c r="C44" s="276" t="str">
        <f t="shared" si="3"/>
        <v>No Co-add</v>
      </c>
      <c r="D44" s="412" t="s">
        <v>307</v>
      </c>
      <c r="E44" s="413" t="s">
        <v>307</v>
      </c>
      <c r="F44" s="414" t="s">
        <v>307</v>
      </c>
      <c r="G44" s="367">
        <v>15.67</v>
      </c>
      <c r="H44" s="412" t="s">
        <v>5</v>
      </c>
      <c r="I44" s="414" t="s">
        <v>5</v>
      </c>
      <c r="J44" s="423">
        <f t="shared" si="4"/>
        <v>0.17708333333333301</v>
      </c>
      <c r="K44" s="141">
        <f t="shared" si="5"/>
        <v>784</v>
      </c>
      <c r="L44" s="468">
        <f>VLOOKUP($B44,'CIRS Table IDs'!$B:$P,15,FALSE)</f>
        <v>1</v>
      </c>
      <c r="M44" s="415" t="str">
        <f>IF($K44&lt;192,"",IF($K44&gt;597,"",VLOOKUP($K44,'CIRS Table Info'!$B$6:$K$425,10,FALSE)))</f>
        <v/>
      </c>
      <c r="N44" s="504" t="s">
        <v>421</v>
      </c>
      <c r="O44" s="222"/>
      <c r="P44" s="83">
        <f t="shared" si="6"/>
        <v>0</v>
      </c>
      <c r="Q44" s="70" t="str">
        <f t="shared" si="7"/>
        <v/>
      </c>
    </row>
    <row r="45" spans="1:18" x14ac:dyDescent="0.2">
      <c r="A45" s="83">
        <f t="shared" si="2"/>
        <v>40</v>
      </c>
      <c r="B45" s="223" t="str">
        <f t="shared" si="2"/>
        <v>CIRS_251EN_PLUME001_ISS</v>
      </c>
      <c r="C45" s="276" t="str">
        <f t="shared" si="3"/>
        <v>No Co-add</v>
      </c>
      <c r="D45" s="412" t="str">
        <f>IF($K45&lt;192,"",IF($K45&gt;597,"",IF(VLOOKUP($K45,'CIRS Table Info'!$B$6:$J$425,4,FALSE)="Data",VLOOKUP($K45,'CIRS Table Info'!$B$6:$J$425,3,FALSE),"")))</f>
        <v>No Co-add</v>
      </c>
      <c r="E45" s="413" t="str">
        <f>IF($K45&lt;192,"",IF($K45&gt;597,"",IF(VLOOKUP($K45,'CIRS Table Info'!$B$6:$J$425,5,FALSE)="Data",VLOOKUP($K45,'CIRS Table Info'!$B$6:$J$425,3,FALSE),"")))</f>
        <v>No Co-add</v>
      </c>
      <c r="F45" s="414" t="str">
        <f>IF($K45&lt;192,"",IF($K45&gt;597,"",IF(VLOOKUP($K45,'CIRS Table Info'!$B$6:$J$425,7,FALSE)="Data",VLOOKUP($K45,'CIRS Table Info'!$B$6:$J$425,3,FALSE),"")))</f>
        <v>No Co-add</v>
      </c>
      <c r="G45" s="367">
        <f>IF($K45&lt;192,"",IF($K45&gt;597,"",VLOOKUP($K45,'CIRS Table Info'!$B$6:$J$425,2,FALSE)))</f>
        <v>15.67</v>
      </c>
      <c r="H45" s="412" t="str">
        <f>IF($K45&lt;192,"",IF($K45&gt;597,"",VLOOKUP($K45,'CIRS Table Info'!$B$6:$J$425,6,FALSE)))</f>
        <v>Blink</v>
      </c>
      <c r="I45" s="414" t="str">
        <f>IF($K45&lt;192,"",IF($K45&gt;597,"",VLOOKUP($K45,'CIRS Table Info'!$B$6:$J$425,8,FALSE)))</f>
        <v>Blink</v>
      </c>
      <c r="J45" s="423">
        <f t="shared" si="4"/>
        <v>0.375</v>
      </c>
      <c r="K45" s="141">
        <f t="shared" si="5"/>
        <v>405</v>
      </c>
      <c r="L45" s="468">
        <f>VLOOKUP($B45,'CIRS Table IDs'!$B:$P,15,FALSE)</f>
        <v>4</v>
      </c>
      <c r="M45" s="415">
        <f>IF($K45&lt;192,"",IF($K45&gt;597,"",VLOOKUP($K45,'CIRS Table Info'!$B$6:$K$425,10,FALSE)))</f>
        <v>2</v>
      </c>
      <c r="N45" s="504"/>
      <c r="O45" s="222"/>
      <c r="P45" s="83">
        <f t="shared" si="6"/>
        <v>1</v>
      </c>
      <c r="Q45" s="70" t="str">
        <f t="shared" si="7"/>
        <v/>
      </c>
    </row>
    <row r="46" spans="1:18" x14ac:dyDescent="0.2">
      <c r="A46" s="83">
        <f t="shared" si="2"/>
        <v>66</v>
      </c>
      <c r="B46" s="223" t="str">
        <f t="shared" si="2"/>
        <v>CIRS_253PA_PANDORA001_ISS</v>
      </c>
      <c r="C46" s="276" t="str">
        <f t="shared" si="3"/>
        <v>No Co-add</v>
      </c>
      <c r="D46" s="412" t="str">
        <f>IF($K46&lt;192,"",IF($K46&gt;597,"",IF(VLOOKUP($K46,'CIRS Table Info'!$B$6:$J$425,4,FALSE)="Data",VLOOKUP($K46,'CIRS Table Info'!$B$6:$J$425,3,FALSE),"")))</f>
        <v>No Co-add</v>
      </c>
      <c r="E46" s="413" t="str">
        <f>IF($K46&lt;192,"",IF($K46&gt;597,"",IF(VLOOKUP($K46,'CIRS Table Info'!$B$6:$J$425,5,FALSE)="Data",VLOOKUP($K46,'CIRS Table Info'!$B$6:$J$425,3,FALSE),"")))</f>
        <v>No Co-add</v>
      </c>
      <c r="F46" s="414" t="str">
        <f>IF($K46&lt;192,"",IF($K46&gt;597,"",IF(VLOOKUP($K46,'CIRS Table Info'!$B$6:$J$425,7,FALSE)="Data",VLOOKUP($K46,'CIRS Table Info'!$B$6:$J$425,3,FALSE),"")))</f>
        <v>No Co-add</v>
      </c>
      <c r="G46" s="367">
        <f>IF($K46&lt;192,"",IF($K46&gt;597,"",VLOOKUP($K46,'CIRS Table Info'!$B$6:$J$425,2,FALSE)))</f>
        <v>15.67</v>
      </c>
      <c r="H46" s="412" t="str">
        <f>IF($K46&lt;192,"",IF($K46&gt;597,"",VLOOKUP($K46,'CIRS Table Info'!$B$6:$J$425,6,FALSE)))</f>
        <v>Blink</v>
      </c>
      <c r="I46" s="414" t="str">
        <f>IF($K46&lt;192,"",IF($K46&gt;597,"",VLOOKUP($K46,'CIRS Table Info'!$B$6:$J$425,8,FALSE)))</f>
        <v>Blink</v>
      </c>
      <c r="J46" s="423">
        <f t="shared" si="4"/>
        <v>7.9861111111111105E-2</v>
      </c>
      <c r="K46" s="141">
        <f t="shared" si="5"/>
        <v>405</v>
      </c>
      <c r="L46" s="468">
        <f>VLOOKUP($B46,'CIRS Table IDs'!$B:$P,15,FALSE)</f>
        <v>1</v>
      </c>
      <c r="M46" s="415">
        <f>IF($K46&lt;192,"",IF($K46&gt;597,"",VLOOKUP($K46,'CIRS Table Info'!$B$6:$K$425,10,FALSE)))</f>
        <v>2</v>
      </c>
      <c r="N46" s="503"/>
      <c r="O46" s="222"/>
      <c r="P46" s="83">
        <f t="shared" si="6"/>
        <v>1</v>
      </c>
      <c r="Q46" s="70" t="str">
        <f t="shared" si="7"/>
        <v/>
      </c>
    </row>
    <row r="47" spans="1:18" ht="30" x14ac:dyDescent="0.2">
      <c r="A47" s="83">
        <f t="shared" si="2"/>
        <v>80</v>
      </c>
      <c r="B47" s="223" t="str">
        <f t="shared" si="2"/>
        <v>CIRS_254OT_STRALTCAL019_PRIME</v>
      </c>
      <c r="C47" s="276" t="str">
        <f t="shared" si="3"/>
        <v>No Co-add</v>
      </c>
      <c r="D47" s="412" t="str">
        <f>IF($K47&lt;192,"",IF($K47&gt;597,"",IF(VLOOKUP($K47,'CIRS Table Info'!$B$6:$J$425,4,FALSE)="Data",VLOOKUP($K47,'CIRS Table Info'!$B$6:$J$425,3,FALSE),"")))</f>
        <v>No Co-add</v>
      </c>
      <c r="E47" s="413" t="str">
        <f>IF($K47&lt;192,"",IF($K47&gt;597,"",IF(VLOOKUP($K47,'CIRS Table Info'!$B$6:$J$425,5,FALSE)="Data",VLOOKUP($K47,'CIRS Table Info'!$B$6:$J$425,3,FALSE),"")))</f>
        <v>No Co-add</v>
      </c>
      <c r="F47" s="414" t="str">
        <f>IF($K47&lt;192,"",IF($K47&gt;597,"",IF(VLOOKUP($K47,'CIRS Table Info'!$B$6:$J$425,7,FALSE)="Data",VLOOKUP($K47,'CIRS Table Info'!$B$6:$J$425,3,FALSE),"")))</f>
        <v>No Co-add</v>
      </c>
      <c r="G47" s="367">
        <f>IF($K47&lt;192,"",IF($K47&gt;597,"",VLOOKUP($K47,'CIRS Table Info'!$B$6:$J$425,2,FALSE)))</f>
        <v>15.67</v>
      </c>
      <c r="H47" s="412" t="str">
        <f>IF($K47&lt;192,"",IF($K47&gt;597,"",VLOOKUP($K47,'CIRS Table Info'!$B$6:$J$425,6,FALSE)))</f>
        <v>Blink</v>
      </c>
      <c r="I47" s="414" t="str">
        <f>IF($K47&lt;192,"",IF($K47&gt;597,"",VLOOKUP($K47,'CIRS Table Info'!$B$6:$J$425,8,FALSE)))</f>
        <v>Blink</v>
      </c>
      <c r="J47" s="423">
        <f t="shared" si="4"/>
        <v>0.33333333333333298</v>
      </c>
      <c r="K47" s="141">
        <f t="shared" si="5"/>
        <v>211</v>
      </c>
      <c r="L47" s="468">
        <f>VLOOKUP($B47,'CIRS Table IDs'!$B:$P,15,FALSE)</f>
        <v>1</v>
      </c>
      <c r="M47" s="415" t="str">
        <f>IF($K47&lt;192,"",IF($K47&gt;597,"",VLOOKUP($K47,'CIRS Table Info'!$B$6:$K$425,10,FALSE)))</f>
        <v>N\A</v>
      </c>
      <c r="N47" s="503" t="s">
        <v>681</v>
      </c>
      <c r="O47" s="222"/>
      <c r="P47" s="83">
        <f t="shared" si="6"/>
        <v>1</v>
      </c>
      <c r="Q47" s="70" t="str">
        <f t="shared" si="7"/>
        <v/>
      </c>
    </row>
    <row r="48" spans="1:18" ht="90" x14ac:dyDescent="0.2">
      <c r="A48" s="83">
        <f t="shared" si="2"/>
        <v>85</v>
      </c>
      <c r="B48" s="223" t="str">
        <f t="shared" si="2"/>
        <v>CIRS_254EN_SP002_PIE</v>
      </c>
      <c r="C48" s="276" t="str">
        <f t="shared" si="3"/>
        <v>No Co-add</v>
      </c>
      <c r="D48" s="412" t="s">
        <v>307</v>
      </c>
      <c r="E48" s="413" t="s">
        <v>307</v>
      </c>
      <c r="F48" s="414" t="s">
        <v>307</v>
      </c>
      <c r="G48" s="367">
        <v>15.67</v>
      </c>
      <c r="H48" s="412" t="s">
        <v>5</v>
      </c>
      <c r="I48" s="414" t="s">
        <v>5</v>
      </c>
      <c r="J48" s="423">
        <f t="shared" si="4"/>
        <v>0.22916666666666699</v>
      </c>
      <c r="K48" s="141">
        <f t="shared" si="5"/>
        <v>834</v>
      </c>
      <c r="L48" s="468">
        <f>VLOOKUP($B48,'CIRS Table IDs'!$B:$P,15,FALSE)</f>
        <v>1</v>
      </c>
      <c r="M48" s="415" t="str">
        <f>IF($K48&lt;192,"",IF($K48&gt;597,"",VLOOKUP($K48,'CIRS Table Info'!$B$6:$K$425,10,FALSE)))</f>
        <v/>
      </c>
      <c r="N48" s="503" t="s">
        <v>498</v>
      </c>
      <c r="O48" s="222"/>
      <c r="P48" s="83">
        <f t="shared" si="6"/>
        <v>0</v>
      </c>
      <c r="Q48" s="70" t="str">
        <f t="shared" si="7"/>
        <v/>
      </c>
    </row>
    <row r="49" spans="1:18" ht="60" x14ac:dyDescent="0.2">
      <c r="A49" s="83">
        <f t="shared" si="2"/>
        <v>102</v>
      </c>
      <c r="B49" s="223" t="str">
        <f t="shared" si="2"/>
        <v>CIRS_255EN_SP003_PIE</v>
      </c>
      <c r="C49" s="276" t="str">
        <f t="shared" si="3"/>
        <v>No Co-add</v>
      </c>
      <c r="D49" s="412" t="s">
        <v>307</v>
      </c>
      <c r="E49" s="413" t="s">
        <v>307</v>
      </c>
      <c r="F49" s="414" t="s">
        <v>307</v>
      </c>
      <c r="G49" s="367">
        <v>15.67</v>
      </c>
      <c r="H49" s="412" t="s">
        <v>5</v>
      </c>
      <c r="I49" s="414" t="s">
        <v>5</v>
      </c>
      <c r="J49" s="423">
        <f t="shared" si="4"/>
        <v>0.104166666666667</v>
      </c>
      <c r="K49" s="141">
        <f t="shared" si="5"/>
        <v>851</v>
      </c>
      <c r="L49" s="468">
        <f>VLOOKUP($B49,'CIRS Table IDs'!$B:$P,15,FALSE)</f>
        <v>1</v>
      </c>
      <c r="M49" s="415" t="str">
        <f>IF($K49&lt;192,"",IF($K49&gt;597,"",VLOOKUP($K49,'CIRS Table Info'!$B$6:$K$425,10,FALSE)))</f>
        <v/>
      </c>
      <c r="N49" s="504" t="s">
        <v>522</v>
      </c>
      <c r="O49" s="222"/>
      <c r="P49" s="83">
        <f t="shared" si="6"/>
        <v>0</v>
      </c>
      <c r="Q49" s="70" t="str">
        <f t="shared" si="7"/>
        <v/>
      </c>
    </row>
    <row r="50" spans="1:18" x14ac:dyDescent="0.2">
      <c r="A50" s="83">
        <f t="shared" si="2"/>
        <v>117</v>
      </c>
      <c r="B50" s="223" t="str">
        <f t="shared" si="2"/>
        <v>CIRS_256OT_SATELLORB001_ISS</v>
      </c>
      <c r="C50" s="276">
        <f t="shared" si="3"/>
        <v>2200</v>
      </c>
      <c r="D50" s="412" t="str">
        <f>IF($K50&lt;192,"",IF($K50&gt;597,"",IF(VLOOKUP($K50,'CIRS Table Info'!$B$6:$J$425,4,FALSE)="Data",VLOOKUP($K50,'CIRS Table Info'!$B$6:$J$425,3,FALSE),"")))</f>
        <v>No Co-add</v>
      </c>
      <c r="E50" s="413" t="str">
        <f>IF($K50&lt;192,"",IF($K50&gt;597,"",IF(VLOOKUP($K50,'CIRS Table Info'!$B$6:$J$425,5,FALSE)="Data",VLOOKUP($K50,'CIRS Table Info'!$B$6:$J$425,3,FALSE),"")))</f>
        <v>No Co-add</v>
      </c>
      <c r="F50" s="414" t="str">
        <f>IF($K50&lt;192,"",IF($K50&gt;597,"",IF(VLOOKUP($K50,'CIRS Table Info'!$B$6:$J$425,7,FALSE)="Data",VLOOKUP($K50,'CIRS Table Info'!$B$6:$J$425,3,FALSE),"")))</f>
        <v/>
      </c>
      <c r="G50" s="367">
        <f>IF($K50&lt;192,"",IF($K50&gt;597,"",VLOOKUP($K50,'CIRS Table Info'!$B$6:$J$425,2,FALSE)))</f>
        <v>15.67</v>
      </c>
      <c r="H50" s="412" t="str">
        <f>IF($K50&lt;192,"",IF($K50&gt;597,"",VLOOKUP($K50,'CIRS Table Info'!$B$6:$J$425,6,FALSE)))</f>
        <v>Centers</v>
      </c>
      <c r="I50" s="414" t="s">
        <v>311</v>
      </c>
      <c r="J50" s="423">
        <f t="shared" si="4"/>
        <v>3.4722222222222203E-2</v>
      </c>
      <c r="K50" s="141">
        <f t="shared" si="5"/>
        <v>350</v>
      </c>
      <c r="L50" s="468">
        <f>VLOOKUP($B50,'CIRS Table IDs'!$B:$P,15,FALSE)</f>
        <v>1</v>
      </c>
      <c r="M50" s="415">
        <f>IF($K50&lt;192,"",IF($K50&gt;597,"",VLOOKUP($K50,'CIRS Table Info'!$B$6:$K$425,10,FALSE)))</f>
        <v>1</v>
      </c>
      <c r="N50" s="504"/>
      <c r="O50" s="222"/>
      <c r="P50" s="83">
        <f t="shared" si="6"/>
        <v>1</v>
      </c>
      <c r="Q50" s="70" t="str">
        <f t="shared" si="7"/>
        <v/>
      </c>
    </row>
    <row r="51" spans="1:18" ht="52.15" customHeight="1" x14ac:dyDescent="0.2">
      <c r="A51" s="83">
        <f t="shared" si="2"/>
        <v>193</v>
      </c>
      <c r="B51" s="223" t="str">
        <f t="shared" si="2"/>
        <v>CIRS_256OT_INSTRESP001_RIDER </v>
      </c>
      <c r="C51" s="276">
        <f t="shared" si="3"/>
        <v>3692.3</v>
      </c>
      <c r="D51" s="412"/>
      <c r="E51" s="413"/>
      <c r="F51" s="414" t="str">
        <f>IF($K51&lt;192,"",IF($K51&gt;597,"",IF(VLOOKUP($K51,'CIRS Table Info'!$B$6:$J$425,7,FALSE)="Data",VLOOKUP($K51,'CIRS Table Info'!$B$6:$J$425,3,FALSE),"")))</f>
        <v/>
      </c>
      <c r="G51" s="367"/>
      <c r="H51" s="412"/>
      <c r="I51" s="414"/>
      <c r="J51" s="423"/>
      <c r="K51" s="141">
        <f t="shared" si="5"/>
        <v>872</v>
      </c>
      <c r="L51" s="468">
        <f>VLOOKUP($B51,'CIRS Table IDs'!$B:$P,15,FALSE)</f>
        <v>1</v>
      </c>
      <c r="M51" s="415"/>
      <c r="N51" s="504" t="s">
        <v>692</v>
      </c>
      <c r="O51" s="222"/>
      <c r="P51" s="83">
        <f t="shared" si="6"/>
        <v>0</v>
      </c>
      <c r="Q51" s="70"/>
    </row>
    <row r="52" spans="1:18" ht="75" x14ac:dyDescent="0.2">
      <c r="A52" s="83">
        <f t="shared" si="2"/>
        <v>145</v>
      </c>
      <c r="B52" s="223" t="str">
        <f t="shared" si="2"/>
        <v>CIRS_257DA_DAPHNIS001_ISS</v>
      </c>
      <c r="C52" s="276" t="str">
        <f t="shared" si="3"/>
        <v>No Co-add</v>
      </c>
      <c r="D52" s="412" t="s">
        <v>307</v>
      </c>
      <c r="E52" s="413" t="s">
        <v>307</v>
      </c>
      <c r="F52" s="414" t="s">
        <v>307</v>
      </c>
      <c r="G52" s="367">
        <v>15.67</v>
      </c>
      <c r="H52" s="412" t="s">
        <v>5</v>
      </c>
      <c r="I52" s="414" t="s">
        <v>5</v>
      </c>
      <c r="J52" s="423">
        <f t="shared" ref="J52:J59" si="8">G22</f>
        <v>0.104166666666667</v>
      </c>
      <c r="K52" s="141">
        <f t="shared" si="5"/>
        <v>894</v>
      </c>
      <c r="L52" s="468">
        <f>VLOOKUP($B52,'CIRS Table IDs'!$B:$P,15,FALSE)</f>
        <v>1</v>
      </c>
      <c r="M52" s="415" t="str">
        <f>IF($K52&lt;192,"",IF($K52&gt;597,"",VLOOKUP($K52,'CIRS Table Info'!$B$6:$K$425,10,FALSE)))</f>
        <v/>
      </c>
      <c r="N52" s="503" t="s">
        <v>581</v>
      </c>
      <c r="O52" s="222"/>
      <c r="P52" s="83">
        <f t="shared" si="6"/>
        <v>0</v>
      </c>
      <c r="Q52" s="70" t="str">
        <f t="shared" ref="Q52:Q57" si="9">IF($R22&lt;200,"",IF($R22&gt;=300,"",IF(MOD(MOD($R22,25)-3,6)&lt;3,"Yes","")))</f>
        <v/>
      </c>
    </row>
    <row r="53" spans="1:18" x14ac:dyDescent="0.2">
      <c r="A53" s="83">
        <f t="shared" si="2"/>
        <v>171</v>
      </c>
      <c r="B53" s="223" t="str">
        <f t="shared" si="2"/>
        <v>CIRS_259EN_ENCELNPOL001_ISS</v>
      </c>
      <c r="C53" s="276" t="str">
        <f t="shared" si="3"/>
        <v>No Co-add</v>
      </c>
      <c r="D53" s="412" t="str">
        <f>IF($K53&lt;192,"",IF($K53&gt;597,"",IF(VLOOKUP($K53,'CIRS Table Info'!$B$6:$J$425,4,FALSE)="Data",VLOOKUP($K53,'CIRS Table Info'!$B$6:$J$425,3,FALSE),"")))</f>
        <v>No Co-add</v>
      </c>
      <c r="E53" s="413" t="str">
        <f>IF($K53&lt;192,"",IF($K53&gt;597,"",IF(VLOOKUP($K53,'CIRS Table Info'!$B$6:$J$425,5,FALSE)="Data",VLOOKUP($K53,'CIRS Table Info'!$B$6:$J$425,3,FALSE),"")))</f>
        <v>No Co-add</v>
      </c>
      <c r="F53" s="414" t="str">
        <f>IF($K53&lt;192,"",IF($K53&gt;597,"",IF(VLOOKUP($K53,'CIRS Table Info'!$B$6:$J$425,7,FALSE)="Data",VLOOKUP($K53,'CIRS Table Info'!$B$6:$J$425,3,FALSE),"")))</f>
        <v>No Co-add</v>
      </c>
      <c r="G53" s="367">
        <f>IF($K53&lt;192,"",IF($K53&gt;597,"",VLOOKUP($K53,'CIRS Table Info'!$B$6:$J$425,2,FALSE)))</f>
        <v>15.67</v>
      </c>
      <c r="H53" s="412" t="str">
        <f>IF($K53&lt;192,"",IF($K53&gt;597,"",VLOOKUP($K53,'CIRS Table Info'!$B$6:$J$425,6,FALSE)))</f>
        <v>Blink</v>
      </c>
      <c r="I53" s="414" t="str">
        <f>IF($K53&lt;192,"",IF($K53&gt;597,"",VLOOKUP($K53,'CIRS Table Info'!$B$6:$J$425,8,FALSE)))</f>
        <v>Blink</v>
      </c>
      <c r="J53" s="423">
        <f t="shared" si="8"/>
        <v>0.11111111111111099</v>
      </c>
      <c r="K53" s="141">
        <f t="shared" si="5"/>
        <v>405</v>
      </c>
      <c r="L53" s="468">
        <f>VLOOKUP($B53,'CIRS Table IDs'!$B:$P,15,FALSE)</f>
        <v>2</v>
      </c>
      <c r="M53" s="415">
        <f>IF($K53&lt;192,"",IF($K53&gt;597,"",VLOOKUP($K53,'CIRS Table Info'!$B$6:$K$425,10,FALSE)))</f>
        <v>2</v>
      </c>
      <c r="N53" s="503"/>
      <c r="O53" s="222"/>
      <c r="P53" s="83">
        <f t="shared" si="6"/>
        <v>1</v>
      </c>
      <c r="Q53" s="70" t="str">
        <f t="shared" si="9"/>
        <v/>
      </c>
    </row>
    <row r="54" spans="1:18" x14ac:dyDescent="0.2">
      <c r="A54" s="83">
        <f t="shared" si="2"/>
        <v>172</v>
      </c>
      <c r="B54" s="223" t="str">
        <f t="shared" si="2"/>
        <v>CIRS_259TE_TETHYS001_ISS</v>
      </c>
      <c r="C54" s="276" t="str">
        <f t="shared" si="3"/>
        <v>No Co-add</v>
      </c>
      <c r="D54" s="412" t="str">
        <f>IF($K54&lt;192,"",IF($K54&gt;597,"",IF(VLOOKUP($K54,'CIRS Table Info'!$B$6:$J$425,4,FALSE)="Data",VLOOKUP($K54,'CIRS Table Info'!$B$6:$J$425,3,FALSE),"")))</f>
        <v>No Co-add</v>
      </c>
      <c r="E54" s="413" t="str">
        <f>IF($K54&lt;192,"",IF($K54&gt;597,"",IF(VLOOKUP($K54,'CIRS Table Info'!$B$6:$J$425,5,FALSE)="Data",VLOOKUP($K54,'CIRS Table Info'!$B$6:$J$425,3,FALSE),"")))</f>
        <v>No Co-add</v>
      </c>
      <c r="F54" s="414" t="str">
        <f>IF($K54&lt;192,"",IF($K54&gt;597,"",IF(VLOOKUP($K54,'CIRS Table Info'!$B$6:$J$425,7,FALSE)="Data",VLOOKUP($K54,'CIRS Table Info'!$B$6:$J$425,3,FALSE),"")))</f>
        <v>No Co-add</v>
      </c>
      <c r="G54" s="367">
        <f>IF($K54&lt;192,"",IF($K54&gt;597,"",VLOOKUP($K54,'CIRS Table Info'!$B$6:$J$425,2,FALSE)))</f>
        <v>15.67</v>
      </c>
      <c r="H54" s="412" t="str">
        <f>IF($K54&lt;192,"",IF($K54&gt;597,"",VLOOKUP($K54,'CIRS Table Info'!$B$6:$J$425,6,FALSE)))</f>
        <v>Blink</v>
      </c>
      <c r="I54" s="414" t="str">
        <f>IF($K54&lt;192,"",IF($K54&gt;597,"",VLOOKUP($K54,'CIRS Table Info'!$B$6:$J$425,8,FALSE)))</f>
        <v>Blink</v>
      </c>
      <c r="J54" s="423">
        <f t="shared" si="8"/>
        <v>6.0416666666666702E-2</v>
      </c>
      <c r="K54" s="141">
        <f t="shared" si="5"/>
        <v>405</v>
      </c>
      <c r="L54" s="468">
        <f>VLOOKUP($B54,'CIRS Table IDs'!$B:$P,15,FALSE)</f>
        <v>1</v>
      </c>
      <c r="M54" s="415">
        <f>IF($K54&lt;192,"",IF($K54&gt;597,"",VLOOKUP($K54,'CIRS Table Info'!$B$6:$K$425,10,FALSE)))</f>
        <v>2</v>
      </c>
      <c r="N54" s="503"/>
      <c r="O54" s="222"/>
      <c r="P54" s="83">
        <f t="shared" si="6"/>
        <v>1</v>
      </c>
      <c r="Q54" s="70" t="str">
        <f t="shared" si="9"/>
        <v/>
      </c>
    </row>
    <row r="55" spans="1:18" x14ac:dyDescent="0.2">
      <c r="A55" s="83">
        <f t="shared" si="2"/>
        <v>174</v>
      </c>
      <c r="B55" s="223" t="str">
        <f t="shared" si="2"/>
        <v>CIRS_259TE_REDTETHYS001_ISS</v>
      </c>
      <c r="C55" s="276" t="str">
        <f t="shared" si="3"/>
        <v>No Co-add</v>
      </c>
      <c r="D55" s="412" t="str">
        <f>IF($K55&lt;192,"",IF($K55&gt;597,"",IF(VLOOKUP($K55,'CIRS Table Info'!$B$6:$J$425,4,FALSE)="Data",VLOOKUP($K55,'CIRS Table Info'!$B$6:$J$425,3,FALSE),"")))</f>
        <v>No Co-add</v>
      </c>
      <c r="E55" s="413" t="str">
        <f>IF($K55&lt;192,"",IF($K55&gt;597,"",IF(VLOOKUP($K55,'CIRS Table Info'!$B$6:$J$425,5,FALSE)="Data",VLOOKUP($K55,'CIRS Table Info'!$B$6:$J$425,3,FALSE),"")))</f>
        <v>No Co-add</v>
      </c>
      <c r="F55" s="414" t="str">
        <f>IF($K55&lt;192,"",IF($K55&gt;597,"",IF(VLOOKUP($K55,'CIRS Table Info'!$B$6:$J$425,7,FALSE)="Data",VLOOKUP($K55,'CIRS Table Info'!$B$6:$J$425,3,FALSE),"")))</f>
        <v>No Co-add</v>
      </c>
      <c r="G55" s="367">
        <f>IF($K55&lt;192,"",IF($K55&gt;597,"",VLOOKUP($K55,'CIRS Table Info'!$B$6:$J$425,2,FALSE)))</f>
        <v>15.67</v>
      </c>
      <c r="H55" s="412" t="str">
        <f>IF($K55&lt;192,"",IF($K55&gt;597,"",VLOOKUP($K55,'CIRS Table Info'!$B$6:$J$425,6,FALSE)))</f>
        <v>Blink</v>
      </c>
      <c r="I55" s="414" t="str">
        <f>IF($K55&lt;192,"",IF($K55&gt;597,"",VLOOKUP($K55,'CIRS Table Info'!$B$6:$J$425,8,FALSE)))</f>
        <v>Blink</v>
      </c>
      <c r="J55" s="423">
        <f t="shared" si="8"/>
        <v>2.5694444444444402E-2</v>
      </c>
      <c r="K55" s="141">
        <f t="shared" si="5"/>
        <v>355</v>
      </c>
      <c r="L55" s="468">
        <f>VLOOKUP($B55,'CIRS Table IDs'!$B:$P,15,FALSE)</f>
        <v>1</v>
      </c>
      <c r="M55" s="415">
        <f>IF($K55&lt;192,"",IF($K55&gt;597,"",VLOOKUP($K55,'CIRS Table Info'!$B$6:$K$425,10,FALSE)))</f>
        <v>1</v>
      </c>
      <c r="N55" s="504"/>
      <c r="O55" s="222"/>
      <c r="P55" s="83">
        <f t="shared" si="6"/>
        <v>1</v>
      </c>
      <c r="Q55" s="70" t="str">
        <f t="shared" si="9"/>
        <v/>
      </c>
    </row>
    <row r="56" spans="1:18" x14ac:dyDescent="0.2">
      <c r="A56" s="83">
        <f t="shared" si="2"/>
        <v>175</v>
      </c>
      <c r="B56" s="223" t="str">
        <f t="shared" si="2"/>
        <v>CIRS_259EP_EPIMETHEU001_ISS</v>
      </c>
      <c r="C56" s="276" t="str">
        <f t="shared" si="3"/>
        <v>No Co-add</v>
      </c>
      <c r="D56" s="412" t="str">
        <f>IF($K56&lt;192,"",IF($K56&gt;597,"",IF(VLOOKUP($K56,'CIRS Table Info'!$B$6:$J$425,4,FALSE)="Data",VLOOKUP($K56,'CIRS Table Info'!$B$6:$J$425,3,FALSE),"")))</f>
        <v>No Co-add</v>
      </c>
      <c r="E56" s="413" t="str">
        <f>IF($K56&lt;192,"",IF($K56&gt;597,"",IF(VLOOKUP($K56,'CIRS Table Info'!$B$6:$J$425,5,FALSE)="Data",VLOOKUP($K56,'CIRS Table Info'!$B$6:$J$425,3,FALSE),"")))</f>
        <v>No Co-add</v>
      </c>
      <c r="F56" s="414" t="str">
        <f>IF($K56&lt;192,"",IF($K56&gt;597,"",IF(VLOOKUP($K56,'CIRS Table Info'!$B$6:$J$425,7,FALSE)="Data",VLOOKUP($K56,'CIRS Table Info'!$B$6:$J$425,3,FALSE),"")))</f>
        <v>No Co-add</v>
      </c>
      <c r="G56" s="367">
        <f>IF($K56&lt;192,"",IF($K56&gt;597,"",VLOOKUP($K56,'CIRS Table Info'!$B$6:$J$425,2,FALSE)))</f>
        <v>15.67</v>
      </c>
      <c r="H56" s="412" t="str">
        <f>IF($K56&lt;192,"",IF($K56&gt;597,"",VLOOKUP($K56,'CIRS Table Info'!$B$6:$J$425,6,FALSE)))</f>
        <v>Blink</v>
      </c>
      <c r="I56" s="414" t="str">
        <f>IF($K56&lt;192,"",IF($K56&gt;597,"",VLOOKUP($K56,'CIRS Table Info'!$B$6:$J$425,8,FALSE)))</f>
        <v>Blink</v>
      </c>
      <c r="J56" s="423">
        <f t="shared" si="8"/>
        <v>7.6388888888888895E-2</v>
      </c>
      <c r="K56" s="141">
        <f t="shared" si="5"/>
        <v>405</v>
      </c>
      <c r="L56" s="468">
        <f>VLOOKUP($B56,'CIRS Table IDs'!$B:$P,15,FALSE)</f>
        <v>2</v>
      </c>
      <c r="M56" s="415">
        <f>IF($K56&lt;192,"",IF($K56&gt;597,"",VLOOKUP($K56,'CIRS Table Info'!$B$6:$K$425,10,FALSE)))</f>
        <v>2</v>
      </c>
      <c r="N56" s="504"/>
      <c r="O56" s="222"/>
      <c r="P56" s="83">
        <f t="shared" si="6"/>
        <v>1</v>
      </c>
      <c r="Q56" s="70" t="str">
        <f t="shared" si="9"/>
        <v/>
      </c>
    </row>
    <row r="57" spans="1:18" x14ac:dyDescent="0.2">
      <c r="A57" s="83">
        <f t="shared" si="2"/>
        <v>176</v>
      </c>
      <c r="B57" s="223" t="str">
        <f t="shared" si="2"/>
        <v>CIRS_259MI_MIMASSP001_ISS</v>
      </c>
      <c r="C57" s="276" t="str">
        <f t="shared" si="3"/>
        <v>No Co-add</v>
      </c>
      <c r="D57" s="412" t="str">
        <f>IF($K57&lt;192,"",IF($K57&gt;597,"",IF(VLOOKUP($K57,'CIRS Table Info'!$B$6:$J$425,4,FALSE)="Data",VLOOKUP($K57,'CIRS Table Info'!$B$6:$J$425,3,FALSE),"")))</f>
        <v>No Co-add</v>
      </c>
      <c r="E57" s="413" t="str">
        <f>IF($K57&lt;192,"",IF($K57&gt;597,"",IF(VLOOKUP($K57,'CIRS Table Info'!$B$6:$J$425,5,FALSE)="Data",VLOOKUP($K57,'CIRS Table Info'!$B$6:$J$425,3,FALSE),"")))</f>
        <v>No Co-add</v>
      </c>
      <c r="F57" s="414" t="str">
        <f>IF($K57&lt;192,"",IF($K57&gt;597,"",IF(VLOOKUP($K57,'CIRS Table Info'!$B$6:$J$425,7,FALSE)="Data",VLOOKUP($K57,'CIRS Table Info'!$B$6:$J$425,3,FALSE),"")))</f>
        <v>No Co-add</v>
      </c>
      <c r="G57" s="367">
        <f>IF($K57&lt;192,"",IF($K57&gt;597,"",VLOOKUP($K57,'CIRS Table Info'!$B$6:$J$425,2,FALSE)))</f>
        <v>15.67</v>
      </c>
      <c r="H57" s="412" t="str">
        <f>IF($K57&lt;192,"",IF($K57&gt;597,"",VLOOKUP($K57,'CIRS Table Info'!$B$6:$J$425,6,FALSE)))</f>
        <v>Blink</v>
      </c>
      <c r="I57" s="414" t="str">
        <f>IF($K57&lt;192,"",IF($K57&gt;597,"",VLOOKUP($K57,'CIRS Table Info'!$B$6:$J$425,8,FALSE)))</f>
        <v>Blink</v>
      </c>
      <c r="J57" s="423">
        <f t="shared" si="8"/>
        <v>8.8888888888888906E-2</v>
      </c>
      <c r="K57" s="141">
        <f t="shared" si="5"/>
        <v>405</v>
      </c>
      <c r="L57" s="468">
        <f>VLOOKUP($B57,'CIRS Table IDs'!$B:$P,15,FALSE)</f>
        <v>2</v>
      </c>
      <c r="M57" s="415">
        <f>IF($K57&lt;192,"",IF($K57&gt;597,"",VLOOKUP($K57,'CIRS Table Info'!$B$6:$K$425,10,FALSE)))</f>
        <v>2</v>
      </c>
      <c r="N57" s="503"/>
      <c r="O57" s="222"/>
      <c r="P57" s="83">
        <f t="shared" si="6"/>
        <v>1</v>
      </c>
      <c r="Q57" s="70" t="str">
        <f t="shared" si="9"/>
        <v/>
      </c>
    </row>
    <row r="58" spans="1:18" ht="90" x14ac:dyDescent="0.2">
      <c r="A58" s="83">
        <f t="shared" si="2"/>
        <v>177</v>
      </c>
      <c r="B58" s="45" t="str">
        <f t="shared" si="2"/>
        <v>CIRS_259EN_SP004_PIE</v>
      </c>
      <c r="C58" s="276" t="str">
        <f t="shared" si="3"/>
        <v>No Co-add</v>
      </c>
      <c r="D58" s="412" t="s">
        <v>307</v>
      </c>
      <c r="E58" s="413" t="s">
        <v>307</v>
      </c>
      <c r="F58" s="414" t="s">
        <v>307</v>
      </c>
      <c r="G58" s="367">
        <v>15.67</v>
      </c>
      <c r="H58" s="412" t="s">
        <v>5</v>
      </c>
      <c r="I58" s="414" t="s">
        <v>5</v>
      </c>
      <c r="J58" s="423">
        <f t="shared" si="8"/>
        <v>0.36111111111111099</v>
      </c>
      <c r="K58" s="141">
        <f t="shared" si="5"/>
        <v>926</v>
      </c>
      <c r="L58" s="468">
        <f>VLOOKUP($B58,'CIRS Table IDs'!$B:$P,15,FALSE)</f>
        <v>1</v>
      </c>
      <c r="M58" s="415" t="str">
        <f>IF($K58&lt;192,"",IF($K58&gt;597,"",VLOOKUP($K58,'CIRS Table Info'!$B$6:$K$425,10,FALSE)))</f>
        <v/>
      </c>
      <c r="N58" s="504" t="s">
        <v>615</v>
      </c>
      <c r="O58" s="222"/>
      <c r="P58" s="83">
        <f t="shared" si="6"/>
        <v>0</v>
      </c>
      <c r="Q58" s="70" t="str">
        <f t="shared" ref="Q58:Q59" si="10">IF($R28&lt;200,"",IF($R28&gt;=300,"",IF(MOD(MOD($R28,25)-3,6)&lt;3,"Yes","")))</f>
        <v/>
      </c>
    </row>
    <row r="59" spans="1:18" ht="36.6" customHeight="1" x14ac:dyDescent="0.2">
      <c r="A59" s="83">
        <f t="shared" si="2"/>
        <v>179</v>
      </c>
      <c r="B59" s="45" t="str">
        <f t="shared" si="2"/>
        <v>CIRS_259RH_COMPGLBL001_PRIME</v>
      </c>
      <c r="C59" s="276">
        <f t="shared" si="3"/>
        <v>2200</v>
      </c>
      <c r="D59" s="412" t="str">
        <f>IF($K59&lt;192,"",IF($K59&gt;597,"",IF(VLOOKUP($K59,'CIRS Table Info'!$B$6:$J$425,4,FALSE)="Data",VLOOKUP($K59,'CIRS Table Info'!$B$6:$J$425,3,FALSE),"")))</f>
        <v>No Co-add</v>
      </c>
      <c r="E59" s="413" t="str">
        <f>IF($K59&lt;192,"",IF($K59&gt;597,"",IF(VLOOKUP($K59,'CIRS Table Info'!$B$6:$J$425,5,FALSE)="Data",VLOOKUP($K59,'CIRS Table Info'!$B$6:$J$425,3,FALSE),"")))</f>
        <v>No Co-add</v>
      </c>
      <c r="F59" s="414" t="str">
        <f>IF($K59&lt;192,"",IF($K59&gt;597,"",IF(VLOOKUP($K59,'CIRS Table Info'!$B$6:$J$425,7,FALSE)="Data",VLOOKUP($K59,'CIRS Table Info'!$B$6:$J$425,3,FALSE),"")))</f>
        <v/>
      </c>
      <c r="G59" s="367" t="s">
        <v>687</v>
      </c>
      <c r="H59" s="518" t="s">
        <v>688</v>
      </c>
      <c r="I59" s="414" t="s">
        <v>311</v>
      </c>
      <c r="J59" s="423">
        <f t="shared" si="8"/>
        <v>0.20833333333333301</v>
      </c>
      <c r="K59" s="141">
        <f t="shared" si="5"/>
        <v>228</v>
      </c>
      <c r="L59" s="468">
        <f>VLOOKUP($B59,'CIRS Table IDs'!$B:$P,15,FALSE)</f>
        <v>1</v>
      </c>
      <c r="M59" s="415" t="str">
        <f>IF($K59&lt;192,"",IF($K59&gt;597,"",VLOOKUP($K59,'CIRS Table Info'!$B$6:$K$425,10,FALSE)))</f>
        <v>N\A</v>
      </c>
      <c r="N59" s="504"/>
      <c r="O59" s="222"/>
      <c r="P59" s="83">
        <f t="shared" si="6"/>
        <v>1</v>
      </c>
      <c r="Q59" s="70" t="str">
        <f t="shared" si="10"/>
        <v/>
      </c>
    </row>
    <row r="60" spans="1:18" ht="15.75" thickBot="1" x14ac:dyDescent="0.25">
      <c r="A60" s="70"/>
      <c r="B60" s="224"/>
      <c r="C60" s="225"/>
      <c r="D60" s="226"/>
      <c r="E60" s="419"/>
      <c r="F60" s="227"/>
      <c r="G60" s="421"/>
      <c r="H60" s="226"/>
      <c r="I60" s="227"/>
      <c r="J60" s="424"/>
      <c r="K60" s="425"/>
      <c r="L60" s="469"/>
      <c r="M60" s="173"/>
      <c r="N60" s="505"/>
      <c r="O60" s="222"/>
      <c r="P60" s="222"/>
      <c r="Q60" s="70"/>
    </row>
    <row r="61" spans="1:18" x14ac:dyDescent="0.2">
      <c r="A61" s="70"/>
      <c r="B61" s="70"/>
      <c r="C61" s="228"/>
      <c r="D61" s="229"/>
      <c r="E61" s="229"/>
      <c r="F61" s="128"/>
      <c r="G61" s="230"/>
      <c r="H61" s="231"/>
      <c r="I61" s="231"/>
      <c r="J61" s="232"/>
      <c r="K61" s="70"/>
      <c r="L61" s="70"/>
      <c r="M61" s="70"/>
      <c r="N61" s="70"/>
      <c r="O61" s="222"/>
      <c r="P61" s="222"/>
      <c r="Q61" s="70"/>
    </row>
    <row r="62" spans="1:18" x14ac:dyDescent="0.2">
      <c r="A62" s="70">
        <f>COUNTA(A38:A60)</f>
        <v>21</v>
      </c>
      <c r="B62" s="70"/>
      <c r="C62" s="228"/>
      <c r="D62" s="229"/>
      <c r="E62" s="229"/>
      <c r="F62" s="128"/>
      <c r="G62" s="230"/>
      <c r="H62" s="231"/>
      <c r="I62" s="231"/>
      <c r="J62" s="232"/>
      <c r="K62" s="70"/>
      <c r="L62" s="70"/>
      <c r="M62" s="70"/>
      <c r="N62" s="70"/>
      <c r="O62" s="222">
        <f>SUM(O38:O60)</f>
        <v>0</v>
      </c>
      <c r="P62" s="222">
        <f>SUM(P38:P60)</f>
        <v>12</v>
      </c>
      <c r="Q62" s="70"/>
    </row>
    <row r="63" spans="1:18" ht="15.75" thickBot="1" x14ac:dyDescent="0.2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82"/>
      <c r="Q63" s="70"/>
      <c r="R63" s="70"/>
    </row>
    <row r="64" spans="1:18" ht="21.6" customHeight="1" x14ac:dyDescent="0.2">
      <c r="A64" s="70"/>
      <c r="B64" s="587" t="s">
        <v>252</v>
      </c>
      <c r="C64" s="623" t="s">
        <v>18</v>
      </c>
      <c r="D64" s="604"/>
      <c r="E64" s="604"/>
      <c r="F64" s="594"/>
      <c r="G64" s="442" t="s">
        <v>19</v>
      </c>
      <c r="H64" s="623" t="s">
        <v>20</v>
      </c>
      <c r="I64" s="604"/>
      <c r="J64" s="604"/>
      <c r="K64" s="594"/>
      <c r="L64" s="589" t="s">
        <v>22</v>
      </c>
      <c r="M64" s="444"/>
      <c r="N64" s="70"/>
      <c r="O64" s="70"/>
      <c r="P64" s="82"/>
      <c r="Q64" s="70"/>
      <c r="R64" s="70"/>
    </row>
    <row r="65" spans="1:18" ht="21.6" customHeight="1" thickBot="1" x14ac:dyDescent="0.25">
      <c r="A65" s="70"/>
      <c r="B65" s="588"/>
      <c r="C65" s="190" t="s">
        <v>25</v>
      </c>
      <c r="D65" s="88" t="s">
        <v>26</v>
      </c>
      <c r="E65" s="88" t="s">
        <v>27</v>
      </c>
      <c r="F65" s="89" t="s">
        <v>28</v>
      </c>
      <c r="G65" s="89" t="s">
        <v>28</v>
      </c>
      <c r="H65" s="190" t="s">
        <v>25</v>
      </c>
      <c r="I65" s="87" t="s">
        <v>26</v>
      </c>
      <c r="J65" s="88" t="s">
        <v>27</v>
      </c>
      <c r="K65" s="89" t="s">
        <v>28</v>
      </c>
      <c r="L65" s="590"/>
      <c r="M65" s="444"/>
      <c r="N65" s="70"/>
      <c r="O65" s="70"/>
      <c r="P65" s="70"/>
      <c r="Q65" s="70"/>
      <c r="R65" s="70"/>
    </row>
    <row r="66" spans="1:18" x14ac:dyDescent="0.2">
      <c r="A66" s="70"/>
      <c r="B66" s="233"/>
      <c r="C66" s="234"/>
      <c r="D66" s="235"/>
      <c r="E66" s="235"/>
      <c r="F66" s="236"/>
      <c r="G66" s="237"/>
      <c r="H66" s="238"/>
      <c r="I66" s="235"/>
      <c r="J66" s="235"/>
      <c r="K66" s="236"/>
      <c r="L66" s="239"/>
      <c r="M66" s="127"/>
      <c r="N66" s="70"/>
      <c r="O66" s="70"/>
      <c r="P66" s="70"/>
      <c r="Q66" s="70"/>
      <c r="R66" s="70"/>
    </row>
    <row r="67" spans="1:18" x14ac:dyDescent="0.2">
      <c r="A67" s="70"/>
      <c r="B67" s="45"/>
      <c r="C67" s="297"/>
      <c r="D67" s="40"/>
      <c r="E67" s="40"/>
      <c r="F67" s="37"/>
      <c r="G67" s="178"/>
      <c r="H67" s="297"/>
      <c r="I67" s="40"/>
      <c r="J67" s="40"/>
      <c r="K67" s="37"/>
      <c r="L67" s="42"/>
      <c r="M67" s="127"/>
      <c r="N67" s="70"/>
      <c r="O67" s="70"/>
      <c r="P67" s="70"/>
      <c r="Q67" s="70"/>
      <c r="R67" s="70"/>
    </row>
    <row r="68" spans="1:18" x14ac:dyDescent="0.2">
      <c r="A68" s="70"/>
      <c r="B68" s="45"/>
      <c r="C68" s="297"/>
      <c r="D68" s="40"/>
      <c r="E68" s="40"/>
      <c r="F68" s="37"/>
      <c r="G68" s="178"/>
      <c r="H68" s="297"/>
      <c r="I68" s="40"/>
      <c r="J68" s="40"/>
      <c r="K68" s="37"/>
      <c r="L68" s="42"/>
      <c r="M68" s="127"/>
      <c r="N68" s="70"/>
      <c r="O68" s="70"/>
      <c r="P68" s="70"/>
      <c r="Q68" s="70"/>
      <c r="R68" s="70"/>
    </row>
    <row r="69" spans="1:18" ht="15.75" thickBot="1" x14ac:dyDescent="0.25">
      <c r="A69" s="70"/>
      <c r="B69" s="224"/>
      <c r="C69" s="240"/>
      <c r="D69" s="241"/>
      <c r="E69" s="241"/>
      <c r="F69" s="242"/>
      <c r="G69" s="243"/>
      <c r="H69" s="244"/>
      <c r="I69" s="241"/>
      <c r="J69" s="241"/>
      <c r="K69" s="245"/>
      <c r="L69" s="246"/>
      <c r="M69" s="127"/>
      <c r="N69" s="70"/>
      <c r="O69" s="70"/>
      <c r="P69" s="70"/>
      <c r="Q69" s="70"/>
      <c r="R69" s="70"/>
    </row>
    <row r="70" spans="1:18" x14ac:dyDescent="0.2">
      <c r="A70" s="70"/>
      <c r="B70" s="70"/>
      <c r="C70" s="247"/>
      <c r="D70" s="84"/>
      <c r="E70" s="84"/>
      <c r="F70" s="124"/>
      <c r="G70" s="124"/>
      <c r="H70" s="248"/>
      <c r="I70" s="84"/>
      <c r="J70" s="84"/>
      <c r="K70" s="124"/>
      <c r="L70" s="84"/>
      <c r="M70" s="127"/>
      <c r="N70" s="70"/>
      <c r="O70" s="70"/>
      <c r="P70" s="70"/>
      <c r="Q70" s="70"/>
      <c r="R70" s="70"/>
    </row>
    <row r="71" spans="1:18" x14ac:dyDescent="0.2">
      <c r="A71" s="70"/>
      <c r="B71" s="70"/>
      <c r="C71" s="247"/>
      <c r="D71" s="84"/>
      <c r="E71" s="84"/>
      <c r="F71" s="124"/>
      <c r="G71" s="124"/>
      <c r="H71" s="248"/>
      <c r="I71" s="84"/>
      <c r="J71" s="84"/>
      <c r="K71" s="124"/>
      <c r="L71" s="127"/>
      <c r="M71" s="127"/>
      <c r="N71" s="70"/>
      <c r="O71" s="70"/>
      <c r="P71" s="70"/>
      <c r="Q71" s="70"/>
      <c r="R71" s="70"/>
    </row>
    <row r="72" spans="1:18" x14ac:dyDescent="0.2">
      <c r="A72" s="70">
        <f>COUNTA(B66:B69)</f>
        <v>0</v>
      </c>
      <c r="B72" s="70" t="s">
        <v>357</v>
      </c>
      <c r="C72" s="70"/>
      <c r="D72" s="70"/>
      <c r="E72" s="84" t="s">
        <v>246</v>
      </c>
      <c r="F72" s="70">
        <f>DAY(G72)</f>
        <v>0</v>
      </c>
      <c r="G72" s="123">
        <f>SUM(G66:G69)</f>
        <v>0</v>
      </c>
      <c r="H72" s="123"/>
      <c r="I72" s="70"/>
      <c r="J72" s="70"/>
      <c r="K72" s="84" t="s">
        <v>34</v>
      </c>
      <c r="L72" s="127">
        <f>SUM(L66:L69)</f>
        <v>0</v>
      </c>
      <c r="M72" s="70" t="s">
        <v>35</v>
      </c>
      <c r="N72" s="70"/>
      <c r="O72" s="70"/>
      <c r="P72" s="70"/>
      <c r="Q72" s="70"/>
      <c r="R72" s="70"/>
    </row>
    <row r="75" spans="1:18" x14ac:dyDescent="0.2">
      <c r="B75" s="14" t="s">
        <v>257</v>
      </c>
    </row>
    <row r="76" spans="1:18" ht="15.75" thickBot="1" x14ac:dyDescent="0.25"/>
    <row r="77" spans="1:18" ht="21.6" customHeight="1" x14ac:dyDescent="0.2">
      <c r="A77" s="70"/>
      <c r="B77" s="587" t="s">
        <v>17</v>
      </c>
      <c r="C77" s="623" t="s">
        <v>18</v>
      </c>
      <c r="D77" s="604"/>
      <c r="E77" s="604"/>
      <c r="F77" s="594"/>
      <c r="G77" s="442" t="s">
        <v>19</v>
      </c>
      <c r="H77" s="623" t="s">
        <v>20</v>
      </c>
      <c r="I77" s="604"/>
      <c r="J77" s="604"/>
      <c r="K77" s="594"/>
    </row>
    <row r="78" spans="1:18" ht="21.6" customHeight="1" thickBot="1" x14ac:dyDescent="0.25">
      <c r="A78" s="70"/>
      <c r="B78" s="588"/>
      <c r="C78" s="190" t="s">
        <v>25</v>
      </c>
      <c r="D78" s="88" t="s">
        <v>26</v>
      </c>
      <c r="E78" s="88" t="s">
        <v>27</v>
      </c>
      <c r="F78" s="89" t="s">
        <v>28</v>
      </c>
      <c r="G78" s="89" t="s">
        <v>28</v>
      </c>
      <c r="H78" s="190" t="s">
        <v>25</v>
      </c>
      <c r="I78" s="87" t="s">
        <v>26</v>
      </c>
      <c r="J78" s="88" t="s">
        <v>27</v>
      </c>
      <c r="K78" s="89" t="s">
        <v>28</v>
      </c>
    </row>
    <row r="79" spans="1:18" x14ac:dyDescent="0.2">
      <c r="A79" s="70"/>
      <c r="B79" s="249"/>
      <c r="C79" s="192"/>
      <c r="D79" s="193"/>
      <c r="E79" s="193"/>
      <c r="F79" s="250"/>
      <c r="G79" s="195"/>
      <c r="H79" s="196"/>
      <c r="I79" s="197"/>
      <c r="J79" s="197"/>
      <c r="K79" s="198"/>
    </row>
    <row r="80" spans="1:18" x14ac:dyDescent="0.2">
      <c r="A80" s="21"/>
      <c r="B80" s="45"/>
      <c r="C80" s="35"/>
      <c r="D80" s="36"/>
      <c r="E80" s="36"/>
      <c r="F80" s="37"/>
      <c r="G80" s="178"/>
      <c r="H80" s="35"/>
      <c r="I80" s="36"/>
      <c r="J80" s="36"/>
      <c r="K80" s="37"/>
    </row>
    <row r="81" spans="1:13" x14ac:dyDescent="0.2">
      <c r="A81" s="21"/>
      <c r="B81" s="45"/>
      <c r="C81" s="35"/>
      <c r="D81" s="36"/>
      <c r="E81" s="36"/>
      <c r="F81" s="37"/>
      <c r="G81" s="178"/>
      <c r="H81" s="35"/>
      <c r="I81" s="36"/>
      <c r="J81" s="36"/>
      <c r="K81" s="37"/>
    </row>
    <row r="82" spans="1:13" x14ac:dyDescent="0.2">
      <c r="A82" s="21"/>
      <c r="B82" s="45"/>
      <c r="C82" s="35"/>
      <c r="D82" s="36"/>
      <c r="E82" s="36"/>
      <c r="F82" s="37"/>
      <c r="G82" s="178"/>
      <c r="H82" s="35"/>
      <c r="I82" s="36"/>
      <c r="J82" s="36"/>
      <c r="K82" s="37"/>
    </row>
    <row r="83" spans="1:13" x14ac:dyDescent="0.2">
      <c r="A83" s="21"/>
      <c r="B83" s="45"/>
      <c r="C83" s="35"/>
      <c r="D83" s="36"/>
      <c r="E83" s="36"/>
      <c r="F83" s="37"/>
      <c r="G83" s="178"/>
      <c r="H83" s="35"/>
      <c r="I83" s="36"/>
      <c r="J83" s="36"/>
      <c r="K83" s="37"/>
    </row>
    <row r="84" spans="1:13" x14ac:dyDescent="0.2">
      <c r="A84" s="21"/>
      <c r="B84" s="45"/>
      <c r="C84" s="35"/>
      <c r="D84" s="36"/>
      <c r="E84" s="36"/>
      <c r="F84" s="37"/>
      <c r="G84" s="178"/>
      <c r="H84" s="35"/>
      <c r="I84" s="36"/>
      <c r="J84" s="36"/>
      <c r="K84" s="37"/>
    </row>
    <row r="85" spans="1:13" x14ac:dyDescent="0.2">
      <c r="A85" s="21"/>
      <c r="B85" s="45"/>
      <c r="C85" s="35"/>
      <c r="D85" s="36"/>
      <c r="E85" s="36"/>
      <c r="F85" s="37"/>
      <c r="G85" s="178"/>
      <c r="H85" s="35"/>
      <c r="I85" s="36"/>
      <c r="J85" s="36"/>
      <c r="K85" s="37"/>
    </row>
    <row r="86" spans="1:13" x14ac:dyDescent="0.2">
      <c r="A86" s="21"/>
      <c r="B86" s="45"/>
      <c r="C86" s="35"/>
      <c r="D86" s="36"/>
      <c r="E86" s="36"/>
      <c r="F86" s="37"/>
      <c r="G86" s="178"/>
      <c r="H86" s="35"/>
      <c r="I86" s="36"/>
      <c r="J86" s="36"/>
      <c r="K86" s="37"/>
    </row>
    <row r="87" spans="1:13" x14ac:dyDescent="0.2">
      <c r="A87" s="21"/>
      <c r="B87" s="45"/>
      <c r="C87" s="46"/>
      <c r="D87" s="36"/>
      <c r="E87" s="36"/>
      <c r="F87" s="37"/>
      <c r="G87" s="251"/>
      <c r="H87" s="252"/>
      <c r="I87" s="36"/>
      <c r="J87" s="36"/>
      <c r="K87" s="37"/>
    </row>
    <row r="88" spans="1:13" x14ac:dyDescent="0.2">
      <c r="A88" s="21"/>
      <c r="B88" s="45"/>
      <c r="C88" s="46"/>
      <c r="D88" s="36"/>
      <c r="E88" s="36"/>
      <c r="F88" s="37"/>
      <c r="G88" s="251">
        <f>SUM(G80:G86)</f>
        <v>0</v>
      </c>
      <c r="H88" s="252"/>
      <c r="I88" s="36"/>
      <c r="J88" s="36"/>
      <c r="K88" s="37">
        <f>K86-F80</f>
        <v>0</v>
      </c>
      <c r="M88" s="14" t="b">
        <f>G88=K88</f>
        <v>1</v>
      </c>
    </row>
    <row r="89" spans="1:13" ht="15.75" thickBot="1" x14ac:dyDescent="0.25">
      <c r="B89" s="253"/>
      <c r="C89" s="254"/>
      <c r="D89" s="255"/>
      <c r="E89" s="255"/>
      <c r="F89" s="256"/>
      <c r="G89" s="257"/>
      <c r="H89" s="254"/>
      <c r="I89" s="255"/>
      <c r="J89" s="255"/>
      <c r="K89" s="256"/>
    </row>
    <row r="91" spans="1:13" x14ac:dyDescent="0.2">
      <c r="G91" s="66">
        <v>1</v>
      </c>
    </row>
  </sheetData>
  <mergeCells count="28">
    <mergeCell ref="P36:P37"/>
    <mergeCell ref="O36:O37"/>
    <mergeCell ref="N36:N37"/>
    <mergeCell ref="B64:B65"/>
    <mergeCell ref="C64:F64"/>
    <mergeCell ref="H64:K64"/>
    <mergeCell ref="L64:L65"/>
    <mergeCell ref="B77:B78"/>
    <mergeCell ref="C77:F77"/>
    <mergeCell ref="H77:K77"/>
    <mergeCell ref="L36:L37"/>
    <mergeCell ref="M36:M37"/>
    <mergeCell ref="Q36:Q37"/>
    <mergeCell ref="R5:R6"/>
    <mergeCell ref="B36:B37"/>
    <mergeCell ref="C36:C37"/>
    <mergeCell ref="D36:F36"/>
    <mergeCell ref="G36:G37"/>
    <mergeCell ref="H36:I36"/>
    <mergeCell ref="J36:J37"/>
    <mergeCell ref="K36:K37"/>
    <mergeCell ref="B5:B6"/>
    <mergeCell ref="C5:F5"/>
    <mergeCell ref="H5:K5"/>
    <mergeCell ref="L5:L6"/>
    <mergeCell ref="M5:M6"/>
    <mergeCell ref="N5:N6"/>
    <mergeCell ref="O5:Q5"/>
  </mergeCells>
  <conditionalFormatting sqref="C39:F59">
    <cfRule type="cellIs" dxfId="142" priority="49" operator="equal">
      <formula>"No Co-add"</formula>
    </cfRule>
    <cfRule type="cellIs" dxfId="141" priority="50" operator="equal">
      <formula>"Co-add"</formula>
    </cfRule>
  </conditionalFormatting>
  <conditionalFormatting sqref="K39:K59">
    <cfRule type="cellIs" dxfId="140" priority="48" operator="lessThan">
      <formula>192</formula>
    </cfRule>
    <cfRule type="containsErrors" dxfId="139" priority="51">
      <formula>ISERROR(K39)</formula>
    </cfRule>
  </conditionalFormatting>
  <conditionalFormatting sqref="Q39:Q59">
    <cfRule type="cellIs" dxfId="138" priority="45" operator="equal">
      <formula>"Yes"</formula>
    </cfRule>
    <cfRule type="containsErrors" dxfId="137" priority="46">
      <formula>ISERROR(Q39)</formula>
    </cfRule>
  </conditionalFormatting>
  <conditionalFormatting sqref="A39:A59">
    <cfRule type="expression" dxfId="136" priority="55">
      <formula>IF($P39-"Yes",TRUE,FALSE)</formula>
    </cfRule>
  </conditionalFormatting>
  <conditionalFormatting sqref="D39:D59">
    <cfRule type="expression" dxfId="135" priority="18">
      <formula>AND($C39&gt;0,$D39="")</formula>
    </cfRule>
    <cfRule type="expression" dxfId="134" priority="19">
      <formula>AND($C39="Co-add",$D39="")</formula>
    </cfRule>
    <cfRule type="expression" dxfId="133" priority="20">
      <formula>AND($C39="No Co-add",$D39="")</formula>
    </cfRule>
    <cfRule type="expression" dxfId="132" priority="34">
      <formula>AND($C39="No Co-add",$D39="Co-add")</formula>
    </cfRule>
    <cfRule type="expression" dxfId="131" priority="35">
      <formula>AND($C39="Co-add",$D39="No Co-add")</formula>
    </cfRule>
    <cfRule type="expression" dxfId="130" priority="36">
      <formula>AND($C39="No Co-add",$D39=" ")</formula>
    </cfRule>
    <cfRule type="expression" dxfId="129" priority="37">
      <formula>AND($C39="Co-add",$D39=" ")</formula>
    </cfRule>
    <cfRule type="expression" dxfId="128" priority="38">
      <formula>AND($C39=2200,$D39="Co-add")</formula>
    </cfRule>
    <cfRule type="expression" dxfId="127" priority="39">
      <formula>AND($C39=1100,$D39="No Co-add")</formula>
    </cfRule>
    <cfRule type="expression" dxfId="126" priority="40">
      <formula>AND($C39=400,$D39="Co-add")</formula>
    </cfRule>
    <cfRule type="expression" dxfId="125" priority="41">
      <formula>AND($C39=200,$D39="No Co-add")</formula>
    </cfRule>
    <cfRule type="expression" dxfId="124" priority="42">
      <formula>AND($C39&gt;0,$D39=" ")</formula>
    </cfRule>
  </conditionalFormatting>
  <conditionalFormatting sqref="E39:E59">
    <cfRule type="expression" dxfId="123" priority="10">
      <formula>AND($C39&lt;1100,$E39="Co-add")</formula>
    </cfRule>
    <cfRule type="expression" dxfId="122" priority="11">
      <formula>AND($C39&lt;1100,$E39="No Co-add")</formula>
    </cfRule>
    <cfRule type="expression" dxfId="121" priority="15">
      <formula>AND($C39="No Co-add",$E39="")</formula>
    </cfRule>
    <cfRule type="expression" dxfId="120" priority="16">
      <formula>AND($C39="Co-add",$E39="")</formula>
    </cfRule>
    <cfRule type="expression" dxfId="119" priority="17">
      <formula>AND($C39&gt;1000, $E39="")</formula>
    </cfRule>
    <cfRule type="expression" dxfId="118" priority="26">
      <formula>AND($C39&gt;1000, $E39=" ")</formula>
    </cfRule>
    <cfRule type="expression" dxfId="117" priority="27">
      <formula>AND($C39=1100,$E39="No Co-add")</formula>
    </cfRule>
    <cfRule type="expression" dxfId="116" priority="28">
      <formula>AND($C39=2200,$E39="Co-add")</formula>
    </cfRule>
    <cfRule type="expression" dxfId="115" priority="29">
      <formula>AND($C39="Co-add",$E39=" ")</formula>
    </cfRule>
    <cfRule type="expression" dxfId="114" priority="30">
      <formula>AND($C39="Co-add",$E39="No Co-add")</formula>
    </cfRule>
    <cfRule type="expression" dxfId="113" priority="31">
      <formula>AND($C39="No Co-add",$E39=" ")</formula>
    </cfRule>
    <cfRule type="expression" dxfId="112" priority="33">
      <formula>AND($C39="No Co-add",$E39="Co-add")</formula>
    </cfRule>
  </conditionalFormatting>
  <conditionalFormatting sqref="F39:F59">
    <cfRule type="expression" dxfId="111" priority="8">
      <formula>AND($C39&lt;4000,$F39="Co-add")</formula>
    </cfRule>
    <cfRule type="expression" dxfId="110" priority="9">
      <formula>AND($C39&lt;4000,$F39="No Co-add")</formula>
    </cfRule>
    <cfRule type="expression" dxfId="109" priority="12">
      <formula>AND($C39&gt;4000,$F39="")</formula>
    </cfRule>
    <cfRule type="expression" dxfId="108" priority="13">
      <formula>AND($C39="No Co-add",$F39="")</formula>
    </cfRule>
    <cfRule type="expression" dxfId="107" priority="14">
      <formula>AND($C39="Co-add",$F39="")</formula>
    </cfRule>
    <cfRule type="expression" dxfId="106" priority="21">
      <formula>AND($C39="Co-add",$F39=" ")</formula>
    </cfRule>
    <cfRule type="expression" dxfId="105" priority="22">
      <formula>AND($C39="Co-add",$F39="No Co-add")</formula>
    </cfRule>
    <cfRule type="expression" dxfId="104" priority="23">
      <formula>AND($C39="No Co-add",$F39=" ")</formula>
    </cfRule>
    <cfRule type="expression" dxfId="103" priority="24">
      <formula>AND($C39="No Co-add",$F39="Co-add")</formula>
    </cfRule>
    <cfRule type="expression" dxfId="102" priority="25">
      <formula>AND($C39&gt;4000,$F39=" ")</formula>
    </cfRule>
  </conditionalFormatting>
  <conditionalFormatting sqref="A21 E21:F21">
    <cfRule type="expression" dxfId="101" priority="7">
      <formula>$O21=1</formula>
    </cfRule>
  </conditionalFormatting>
  <conditionalFormatting sqref="B21">
    <cfRule type="expression" dxfId="100" priority="6">
      <formula>$O21=1</formula>
    </cfRule>
  </conditionalFormatting>
  <conditionalFormatting sqref="C21">
    <cfRule type="expression" dxfId="99" priority="5">
      <formula>$O21=1</formula>
    </cfRule>
  </conditionalFormatting>
  <conditionalFormatting sqref="D21">
    <cfRule type="expression" dxfId="98" priority="4">
      <formula>$O21=1</formula>
    </cfRule>
  </conditionalFormatting>
  <conditionalFormatting sqref="H21:K21">
    <cfRule type="expression" dxfId="97" priority="3">
      <formula>$O21=1</formula>
    </cfRule>
  </conditionalFormatting>
  <conditionalFormatting sqref="M21">
    <cfRule type="expression" dxfId="96" priority="2">
      <formula>$O21=1</formula>
    </cfRule>
  </conditionalFormatting>
  <conditionalFormatting sqref="L21">
    <cfRule type="expression" dxfId="95" priority="1">
      <formula>$O21=1</formula>
    </cfRule>
  </conditionalFormatting>
  <printOptions gridLines="1" gridLinesSet="0"/>
  <pageMargins left="0.75" right="0.75" top="1" bottom="1" header="0.51181102300000003" footer="0.51181102300000003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"/>
  <sheetViews>
    <sheetView workbookViewId="0"/>
  </sheetViews>
  <sheetFormatPr defaultColWidth="11.375" defaultRowHeight="15" x14ac:dyDescent="0.2"/>
  <cols>
    <col min="1" max="1" width="6.375" style="14" bestFit="1" customWidth="1"/>
    <col min="2" max="2" width="19.375" style="14" customWidth="1"/>
    <col min="3" max="3" width="15.375" style="14" customWidth="1"/>
    <col min="4" max="4" width="13.375" style="14" bestFit="1" customWidth="1"/>
    <col min="5" max="16384" width="11.375" style="14"/>
  </cols>
  <sheetData>
    <row r="3" spans="1:4" x14ac:dyDescent="0.2">
      <c r="B3" s="14" t="s">
        <v>258</v>
      </c>
    </row>
    <row r="4" spans="1:4" ht="15.75" thickBot="1" x14ac:dyDescent="0.25">
      <c r="A4" s="70"/>
      <c r="B4" s="70"/>
      <c r="C4" s="70"/>
      <c r="D4" s="70"/>
    </row>
    <row r="5" spans="1:4" x14ac:dyDescent="0.2">
      <c r="A5" s="70"/>
      <c r="B5" s="587" t="s">
        <v>17</v>
      </c>
      <c r="C5" s="587" t="s">
        <v>37</v>
      </c>
      <c r="D5" s="70"/>
    </row>
    <row r="6" spans="1:4" ht="15.75" thickBot="1" x14ac:dyDescent="0.25">
      <c r="A6" s="70"/>
      <c r="B6" s="606"/>
      <c r="C6" s="606"/>
      <c r="D6" s="70"/>
    </row>
    <row r="7" spans="1:4" x14ac:dyDescent="0.2">
      <c r="A7" s="15"/>
      <c r="B7" s="139"/>
      <c r="C7" s="140"/>
      <c r="D7" s="70"/>
    </row>
    <row r="8" spans="1:4" x14ac:dyDescent="0.2">
      <c r="A8" s="21"/>
      <c r="B8" s="45"/>
      <c r="C8" s="141"/>
      <c r="D8" s="258"/>
    </row>
    <row r="9" spans="1:4" x14ac:dyDescent="0.2">
      <c r="A9" s="21"/>
      <c r="B9" s="45"/>
      <c r="C9" s="141"/>
      <c r="D9" s="258"/>
    </row>
    <row r="10" spans="1:4" x14ac:dyDescent="0.2">
      <c r="A10" s="21"/>
      <c r="B10" s="45"/>
      <c r="C10" s="141"/>
      <c r="D10" s="258"/>
    </row>
    <row r="11" spans="1:4" x14ac:dyDescent="0.2">
      <c r="A11" s="21"/>
      <c r="B11" s="45"/>
      <c r="C11" s="141"/>
      <c r="D11" s="258"/>
    </row>
    <row r="12" spans="1:4" x14ac:dyDescent="0.2">
      <c r="A12" s="21"/>
      <c r="B12" s="45"/>
      <c r="C12" s="141"/>
      <c r="D12" s="258"/>
    </row>
    <row r="13" spans="1:4" x14ac:dyDescent="0.2">
      <c r="A13" s="21"/>
      <c r="B13" s="45"/>
      <c r="C13" s="141"/>
      <c r="D13" s="258"/>
    </row>
    <row r="14" spans="1:4" x14ac:dyDescent="0.2">
      <c r="A14" s="21"/>
      <c r="B14" s="45"/>
      <c r="C14" s="141"/>
      <c r="D14" s="258"/>
    </row>
    <row r="15" spans="1:4" x14ac:dyDescent="0.2">
      <c r="A15" s="21"/>
      <c r="B15" s="45"/>
      <c r="C15" s="141"/>
      <c r="D15" s="258"/>
    </row>
    <row r="16" spans="1:4" x14ac:dyDescent="0.2">
      <c r="A16" s="21"/>
      <c r="B16" s="45"/>
      <c r="C16" s="141"/>
      <c r="D16" s="258"/>
    </row>
    <row r="17" spans="1:4" x14ac:dyDescent="0.2">
      <c r="A17" s="21"/>
      <c r="B17" s="45"/>
      <c r="C17" s="141"/>
      <c r="D17" s="258"/>
    </row>
    <row r="18" spans="1:4" x14ac:dyDescent="0.2">
      <c r="A18" s="21"/>
      <c r="B18" s="45"/>
      <c r="C18" s="141"/>
      <c r="D18" s="258"/>
    </row>
    <row r="19" spans="1:4" ht="15.75" thickBot="1" x14ac:dyDescent="0.25">
      <c r="A19" s="259"/>
      <c r="B19" s="260"/>
      <c r="C19" s="261"/>
      <c r="D19" s="258"/>
    </row>
  </sheetData>
  <mergeCells count="2">
    <mergeCell ref="B5:B6"/>
    <mergeCell ref="C5:C6"/>
  </mergeCells>
  <printOptions gridLines="1" gridLinesSet="0"/>
  <pageMargins left="0.75" right="0.75" top="1" bottom="1" header="0.51181102300000003" footer="0.5118110230000000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1"/>
  <sheetViews>
    <sheetView zoomScale="85" zoomScaleNormal="85" workbookViewId="0"/>
  </sheetViews>
  <sheetFormatPr defaultColWidth="11.375" defaultRowHeight="15" x14ac:dyDescent="0.2"/>
  <cols>
    <col min="1" max="1" width="6.375" style="14" bestFit="1" customWidth="1"/>
    <col min="2" max="2" width="47" style="14" bestFit="1" customWidth="1"/>
    <col min="3" max="11" width="16" style="14" customWidth="1"/>
    <col min="12" max="12" width="14.875" style="14" customWidth="1"/>
    <col min="13" max="13" width="17.875" style="14" customWidth="1"/>
    <col min="14" max="14" width="16.375" style="14" bestFit="1" customWidth="1"/>
    <col min="15" max="15" width="25.625" style="14" bestFit="1" customWidth="1"/>
    <col min="16" max="16" width="19.375" style="14" bestFit="1" customWidth="1"/>
    <col min="17" max="17" width="68.125" style="14" bestFit="1" customWidth="1"/>
    <col min="18" max="18" width="24" style="14" bestFit="1" customWidth="1"/>
    <col min="19" max="16384" width="11.375" style="14"/>
  </cols>
  <sheetData>
    <row r="1" spans="1:18" x14ac:dyDescent="0.2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Q2" s="84" t="s">
        <v>36</v>
      </c>
      <c r="R2" s="70">
        <v>750</v>
      </c>
    </row>
    <row r="3" spans="1:18" x14ac:dyDescent="0.2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ht="15.75" thickBo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18" ht="21.6" customHeight="1" x14ac:dyDescent="0.2">
      <c r="A5" s="70"/>
      <c r="B5" s="587" t="s">
        <v>17</v>
      </c>
      <c r="C5" s="623" t="s">
        <v>18</v>
      </c>
      <c r="D5" s="604"/>
      <c r="E5" s="604"/>
      <c r="F5" s="594"/>
      <c r="G5" s="442" t="s">
        <v>19</v>
      </c>
      <c r="H5" s="623" t="s">
        <v>20</v>
      </c>
      <c r="I5" s="604"/>
      <c r="J5" s="604"/>
      <c r="K5" s="594"/>
      <c r="L5" s="589" t="s">
        <v>21</v>
      </c>
      <c r="M5" s="589" t="s">
        <v>22</v>
      </c>
      <c r="N5" s="587" t="s">
        <v>23</v>
      </c>
      <c r="O5" s="593" t="s">
        <v>24</v>
      </c>
      <c r="P5" s="604"/>
      <c r="Q5" s="631"/>
      <c r="R5" s="587" t="s">
        <v>37</v>
      </c>
    </row>
    <row r="6" spans="1:18" ht="21.6" customHeight="1" thickBot="1" x14ac:dyDescent="0.25">
      <c r="A6" s="70"/>
      <c r="B6" s="588"/>
      <c r="C6" s="190" t="s">
        <v>25</v>
      </c>
      <c r="D6" s="88" t="s">
        <v>26</v>
      </c>
      <c r="E6" s="88" t="s">
        <v>27</v>
      </c>
      <c r="F6" s="89" t="s">
        <v>28</v>
      </c>
      <c r="G6" s="89" t="s">
        <v>28</v>
      </c>
      <c r="H6" s="190" t="s">
        <v>25</v>
      </c>
      <c r="I6" s="87" t="s">
        <v>26</v>
      </c>
      <c r="J6" s="88" t="s">
        <v>27</v>
      </c>
      <c r="K6" s="89" t="s">
        <v>28</v>
      </c>
      <c r="L6" s="590"/>
      <c r="M6" s="590"/>
      <c r="N6" s="588"/>
      <c r="O6" s="86" t="s">
        <v>29</v>
      </c>
      <c r="P6" s="426" t="s">
        <v>30</v>
      </c>
      <c r="Q6" s="427" t="s">
        <v>31</v>
      </c>
      <c r="R6" s="588"/>
    </row>
    <row r="7" spans="1:18" x14ac:dyDescent="0.2">
      <c r="A7" s="70"/>
      <c r="B7" s="249"/>
      <c r="C7" s="192"/>
      <c r="D7" s="193"/>
      <c r="E7" s="193"/>
      <c r="F7" s="250"/>
      <c r="G7" s="195"/>
      <c r="H7" s="196"/>
      <c r="I7" s="197"/>
      <c r="J7" s="197"/>
      <c r="K7" s="198"/>
      <c r="L7" s="160"/>
      <c r="M7" s="160"/>
      <c r="N7" s="154"/>
      <c r="O7" s="199"/>
      <c r="P7" s="197"/>
      <c r="Q7" s="159"/>
      <c r="R7" s="262"/>
    </row>
    <row r="8" spans="1:18" x14ac:dyDescent="0.2">
      <c r="A8" s="70"/>
      <c r="B8" s="34" t="s">
        <v>361</v>
      </c>
      <c r="C8" s="35">
        <f t="shared" ref="C8:C39" si="0">DATE(D8,1,E8)</f>
        <v>42697</v>
      </c>
      <c r="D8" s="36">
        <v>2016</v>
      </c>
      <c r="E8" s="36">
        <v>328</v>
      </c>
      <c r="F8" s="37">
        <v>0.23819444444444446</v>
      </c>
      <c r="G8" s="263"/>
      <c r="H8" s="264"/>
      <c r="I8" s="265"/>
      <c r="J8" s="265"/>
      <c r="K8" s="266"/>
      <c r="L8" s="267"/>
      <c r="M8" s="267"/>
      <c r="N8" s="268"/>
      <c r="O8" s="269"/>
      <c r="P8" s="265"/>
      <c r="Q8" s="506"/>
      <c r="R8" s="209"/>
    </row>
    <row r="9" spans="1:18" x14ac:dyDescent="0.2">
      <c r="A9" s="21">
        <v>14</v>
      </c>
      <c r="B9" s="45" t="s">
        <v>391</v>
      </c>
      <c r="C9" s="35">
        <f t="shared" si="0"/>
        <v>42703</v>
      </c>
      <c r="D9" s="36">
        <v>2016</v>
      </c>
      <c r="E9" s="36">
        <v>334</v>
      </c>
      <c r="F9" s="37">
        <v>0.26194444444444398</v>
      </c>
      <c r="G9" s="178">
        <v>8.1481481481481502E-2</v>
      </c>
      <c r="H9" s="35">
        <f t="shared" ref="H9:H40" si="1">DATE(I9,1,J9)</f>
        <v>42703</v>
      </c>
      <c r="I9" s="36">
        <v>2016</v>
      </c>
      <c r="J9" s="36">
        <v>334</v>
      </c>
      <c r="K9" s="37">
        <v>0.34342592592592602</v>
      </c>
      <c r="L9" s="41">
        <v>1900</v>
      </c>
      <c r="M9" s="42">
        <v>13.375999999999999</v>
      </c>
      <c r="N9" s="179" t="s">
        <v>370</v>
      </c>
      <c r="O9" s="183"/>
      <c r="P9" s="184"/>
      <c r="Q9" s="210"/>
      <c r="R9" s="209">
        <f>VLOOKUP($B9,'CIRS Table IDs'!$B:$P,14,FALSE)</f>
        <v>473</v>
      </c>
    </row>
    <row r="10" spans="1:18" x14ac:dyDescent="0.2">
      <c r="A10" s="21">
        <v>15</v>
      </c>
      <c r="B10" s="45" t="s">
        <v>392</v>
      </c>
      <c r="C10" s="35">
        <f t="shared" si="0"/>
        <v>42703</v>
      </c>
      <c r="D10" s="36">
        <v>2016</v>
      </c>
      <c r="E10" s="36">
        <v>334</v>
      </c>
      <c r="F10" s="37">
        <v>0.34342592592592602</v>
      </c>
      <c r="G10" s="178">
        <v>0.20833333333333301</v>
      </c>
      <c r="H10" s="35">
        <f t="shared" si="1"/>
        <v>42703</v>
      </c>
      <c r="I10" s="36">
        <v>2016</v>
      </c>
      <c r="J10" s="36">
        <v>334</v>
      </c>
      <c r="K10" s="37">
        <v>0.55175925925925895</v>
      </c>
      <c r="L10" s="41">
        <v>1900</v>
      </c>
      <c r="M10" s="42">
        <v>34.200000000000003</v>
      </c>
      <c r="N10" s="179" t="s">
        <v>370</v>
      </c>
      <c r="O10" s="183"/>
      <c r="P10" s="184"/>
      <c r="Q10" s="210"/>
      <c r="R10" s="209">
        <f>VLOOKUP($B10,'CIRS Table IDs'!$B:$P,14,FALSE)</f>
        <v>473</v>
      </c>
    </row>
    <row r="11" spans="1:18" x14ac:dyDescent="0.2">
      <c r="A11" s="21">
        <v>16</v>
      </c>
      <c r="B11" s="45" t="s">
        <v>393</v>
      </c>
      <c r="C11" s="35">
        <f t="shared" si="0"/>
        <v>42703</v>
      </c>
      <c r="D11" s="36">
        <v>2016</v>
      </c>
      <c r="E11" s="36">
        <v>334</v>
      </c>
      <c r="F11" s="37">
        <v>0.55175925925925895</v>
      </c>
      <c r="G11" s="178">
        <v>0.16666666666666699</v>
      </c>
      <c r="H11" s="35">
        <f t="shared" si="1"/>
        <v>42703</v>
      </c>
      <c r="I11" s="36">
        <v>2016</v>
      </c>
      <c r="J11" s="36">
        <v>334</v>
      </c>
      <c r="K11" s="37">
        <v>0.71842592592592602</v>
      </c>
      <c r="L11" s="41">
        <v>1900</v>
      </c>
      <c r="M11" s="42">
        <v>27.36</v>
      </c>
      <c r="N11" s="179" t="s">
        <v>370</v>
      </c>
      <c r="O11" s="183"/>
      <c r="P11" s="184"/>
      <c r="Q11" s="182"/>
      <c r="R11" s="209">
        <f>VLOOKUP($B11,'CIRS Table IDs'!$B:$P,14,FALSE)</f>
        <v>473</v>
      </c>
    </row>
    <row r="12" spans="1:18" x14ac:dyDescent="0.2">
      <c r="A12" s="21">
        <v>17</v>
      </c>
      <c r="B12" s="45" t="s">
        <v>394</v>
      </c>
      <c r="C12" s="35">
        <f t="shared" si="0"/>
        <v>42703</v>
      </c>
      <c r="D12" s="36">
        <v>2016</v>
      </c>
      <c r="E12" s="36">
        <v>334</v>
      </c>
      <c r="F12" s="37">
        <v>0.71842592592592602</v>
      </c>
      <c r="G12" s="178">
        <v>0.114583333333333</v>
      </c>
      <c r="H12" s="35">
        <f t="shared" si="1"/>
        <v>42703</v>
      </c>
      <c r="I12" s="36">
        <v>2016</v>
      </c>
      <c r="J12" s="36">
        <v>334</v>
      </c>
      <c r="K12" s="37">
        <v>0.83300925925925895</v>
      </c>
      <c r="L12" s="41">
        <v>1900</v>
      </c>
      <c r="M12" s="42">
        <v>18.809999999999999</v>
      </c>
      <c r="N12" s="179" t="s">
        <v>370</v>
      </c>
      <c r="O12" s="183"/>
      <c r="P12" s="184"/>
      <c r="Q12" s="182"/>
      <c r="R12" s="209">
        <f>VLOOKUP($B12,'CIRS Table IDs'!$B:$P,14,FALSE)</f>
        <v>245</v>
      </c>
    </row>
    <row r="13" spans="1:18" x14ac:dyDescent="0.2">
      <c r="A13" s="21">
        <v>18</v>
      </c>
      <c r="B13" s="45" t="s">
        <v>395</v>
      </c>
      <c r="C13" s="35">
        <f t="shared" si="0"/>
        <v>42703</v>
      </c>
      <c r="D13" s="36">
        <v>2016</v>
      </c>
      <c r="E13" s="36">
        <v>334</v>
      </c>
      <c r="F13" s="37">
        <v>0.83300925925925895</v>
      </c>
      <c r="G13" s="178">
        <v>7.2916666666666699E-2</v>
      </c>
      <c r="H13" s="35">
        <f t="shared" si="1"/>
        <v>42703</v>
      </c>
      <c r="I13" s="36">
        <v>2016</v>
      </c>
      <c r="J13" s="36">
        <v>334</v>
      </c>
      <c r="K13" s="37">
        <v>0.90592592592592602</v>
      </c>
      <c r="L13" s="41">
        <v>1900</v>
      </c>
      <c r="M13" s="42">
        <v>11.97</v>
      </c>
      <c r="N13" s="179" t="s">
        <v>370</v>
      </c>
      <c r="O13" s="183"/>
      <c r="P13" s="184"/>
      <c r="Q13" s="182"/>
      <c r="R13" s="209">
        <f>VLOOKUP($B13,'CIRS Table IDs'!$B:$P,14,FALSE)</f>
        <v>245</v>
      </c>
    </row>
    <row r="14" spans="1:18" x14ac:dyDescent="0.2">
      <c r="A14" s="21">
        <v>19</v>
      </c>
      <c r="B14" s="45" t="s">
        <v>396</v>
      </c>
      <c r="C14" s="35">
        <f t="shared" si="0"/>
        <v>42703</v>
      </c>
      <c r="D14" s="36">
        <v>2016</v>
      </c>
      <c r="E14" s="36">
        <v>334</v>
      </c>
      <c r="F14" s="37">
        <v>0.90592592592592602</v>
      </c>
      <c r="G14" s="178">
        <v>3.125E-2</v>
      </c>
      <c r="H14" s="35">
        <f t="shared" si="1"/>
        <v>42703</v>
      </c>
      <c r="I14" s="36">
        <v>2016</v>
      </c>
      <c r="J14" s="36">
        <v>334</v>
      </c>
      <c r="K14" s="37">
        <v>0.93717592592592602</v>
      </c>
      <c r="L14" s="41">
        <v>1900</v>
      </c>
      <c r="M14" s="42">
        <v>5.13</v>
      </c>
      <c r="N14" s="179" t="s">
        <v>370</v>
      </c>
      <c r="O14" s="183"/>
      <c r="P14" s="184"/>
      <c r="Q14" s="507"/>
      <c r="R14" s="209">
        <f>VLOOKUP($B14,'CIRS Table IDs'!$B:$P,14,FALSE)</f>
        <v>245</v>
      </c>
    </row>
    <row r="15" spans="1:18" x14ac:dyDescent="0.2">
      <c r="A15" s="21">
        <v>20</v>
      </c>
      <c r="B15" s="45" t="s">
        <v>397</v>
      </c>
      <c r="C15" s="35">
        <f t="shared" si="0"/>
        <v>42703</v>
      </c>
      <c r="D15" s="36">
        <v>2016</v>
      </c>
      <c r="E15" s="36">
        <v>334</v>
      </c>
      <c r="F15" s="37">
        <v>0.93717592592592602</v>
      </c>
      <c r="G15" s="178">
        <v>2.0833333333333301E-2</v>
      </c>
      <c r="H15" s="35">
        <f t="shared" si="1"/>
        <v>42703</v>
      </c>
      <c r="I15" s="36">
        <v>2016</v>
      </c>
      <c r="J15" s="36">
        <v>334</v>
      </c>
      <c r="K15" s="37">
        <v>0.95800925925925895</v>
      </c>
      <c r="L15" s="41">
        <v>4000</v>
      </c>
      <c r="M15" s="42">
        <v>7.2</v>
      </c>
      <c r="N15" s="179" t="s">
        <v>366</v>
      </c>
      <c r="O15" s="183" t="s">
        <v>398</v>
      </c>
      <c r="P15" s="184" t="s">
        <v>399</v>
      </c>
      <c r="Q15" s="508"/>
      <c r="R15" s="209">
        <f>VLOOKUP($B15,'CIRS Table IDs'!$B:$P,14,FALSE)</f>
        <v>208</v>
      </c>
    </row>
    <row r="16" spans="1:18" x14ac:dyDescent="0.2">
      <c r="A16" s="21">
        <v>21</v>
      </c>
      <c r="B16" s="45" t="s">
        <v>400</v>
      </c>
      <c r="C16" s="35">
        <f t="shared" si="0"/>
        <v>42703</v>
      </c>
      <c r="D16" s="36">
        <v>2016</v>
      </c>
      <c r="E16" s="36">
        <v>334</v>
      </c>
      <c r="F16" s="37">
        <v>0.95800925925925895</v>
      </c>
      <c r="G16" s="178">
        <v>2.0833333333333301E-2</v>
      </c>
      <c r="H16" s="35">
        <f t="shared" si="1"/>
        <v>42703</v>
      </c>
      <c r="I16" s="36">
        <v>2016</v>
      </c>
      <c r="J16" s="36">
        <v>334</v>
      </c>
      <c r="K16" s="37">
        <v>0.97884259259259299</v>
      </c>
      <c r="L16" s="41">
        <v>4000</v>
      </c>
      <c r="M16" s="42">
        <v>7.2</v>
      </c>
      <c r="N16" s="179" t="s">
        <v>366</v>
      </c>
      <c r="O16" s="183" t="s">
        <v>398</v>
      </c>
      <c r="P16" s="184" t="s">
        <v>399</v>
      </c>
      <c r="Q16" s="508"/>
      <c r="R16" s="209">
        <f>VLOOKUP($B16,'CIRS Table IDs'!$B:$P,14,FALSE)</f>
        <v>208</v>
      </c>
    </row>
    <row r="17" spans="1:19" x14ac:dyDescent="0.2">
      <c r="A17" s="21">
        <v>22</v>
      </c>
      <c r="B17" s="45" t="s">
        <v>401</v>
      </c>
      <c r="C17" s="35">
        <f t="shared" si="0"/>
        <v>42703</v>
      </c>
      <c r="D17" s="36">
        <v>2016</v>
      </c>
      <c r="E17" s="36">
        <v>334</v>
      </c>
      <c r="F17" s="37">
        <v>0.97884259259259299</v>
      </c>
      <c r="G17" s="178">
        <v>4.1666666666666699E-2</v>
      </c>
      <c r="H17" s="35">
        <f t="shared" si="1"/>
        <v>42704</v>
      </c>
      <c r="I17" s="36">
        <v>2016</v>
      </c>
      <c r="J17" s="36">
        <v>335</v>
      </c>
      <c r="K17" s="37">
        <v>2.05092592592593E-2</v>
      </c>
      <c r="L17" s="41">
        <v>4000</v>
      </c>
      <c r="M17" s="42">
        <v>14.4</v>
      </c>
      <c r="N17" s="179" t="s">
        <v>366</v>
      </c>
      <c r="O17" s="183" t="s">
        <v>398</v>
      </c>
      <c r="P17" s="184" t="s">
        <v>399</v>
      </c>
      <c r="Q17" s="182"/>
      <c r="R17" s="209">
        <f>VLOOKUP($B17,'CIRS Table IDs'!$B:$P,14,FALSE)</f>
        <v>283</v>
      </c>
    </row>
    <row r="18" spans="1:19" x14ac:dyDescent="0.2">
      <c r="A18" s="21">
        <v>23</v>
      </c>
      <c r="B18" s="45" t="s">
        <v>402</v>
      </c>
      <c r="C18" s="35">
        <f t="shared" si="0"/>
        <v>42704</v>
      </c>
      <c r="D18" s="36">
        <v>2016</v>
      </c>
      <c r="E18" s="36">
        <v>335</v>
      </c>
      <c r="F18" s="37">
        <v>2.05092592592593E-2</v>
      </c>
      <c r="G18" s="178">
        <v>0.114583333333333</v>
      </c>
      <c r="H18" s="35">
        <f t="shared" si="1"/>
        <v>42704</v>
      </c>
      <c r="I18" s="36">
        <v>2016</v>
      </c>
      <c r="J18" s="36">
        <v>335</v>
      </c>
      <c r="K18" s="37">
        <v>0.13509259259259301</v>
      </c>
      <c r="L18" s="41">
        <v>1900</v>
      </c>
      <c r="M18" s="42">
        <v>18.809999999999999</v>
      </c>
      <c r="N18" s="179" t="s">
        <v>366</v>
      </c>
      <c r="O18" s="183" t="s">
        <v>398</v>
      </c>
      <c r="P18" s="184" t="s">
        <v>403</v>
      </c>
      <c r="Q18" s="182"/>
      <c r="R18" s="209">
        <f>VLOOKUP($B18,'CIRS Table IDs'!$B:$P,14,FALSE)</f>
        <v>461</v>
      </c>
    </row>
    <row r="19" spans="1:19" x14ac:dyDescent="0.2">
      <c r="A19" s="21">
        <v>24</v>
      </c>
      <c r="B19" s="45" t="s">
        <v>404</v>
      </c>
      <c r="C19" s="35">
        <f t="shared" si="0"/>
        <v>42704</v>
      </c>
      <c r="D19" s="36">
        <v>2016</v>
      </c>
      <c r="E19" s="36">
        <v>335</v>
      </c>
      <c r="F19" s="37">
        <v>0.13509259259259301</v>
      </c>
      <c r="G19" s="178">
        <v>0.16666666666666699</v>
      </c>
      <c r="H19" s="35">
        <f t="shared" si="1"/>
        <v>42704</v>
      </c>
      <c r="I19" s="36">
        <v>2016</v>
      </c>
      <c r="J19" s="36">
        <v>335</v>
      </c>
      <c r="K19" s="37">
        <v>0.30175925925925901</v>
      </c>
      <c r="L19" s="41">
        <v>3600</v>
      </c>
      <c r="M19" s="42">
        <v>51.84</v>
      </c>
      <c r="N19" s="179" t="s">
        <v>366</v>
      </c>
      <c r="O19" s="180" t="s">
        <v>405</v>
      </c>
      <c r="P19" s="181" t="s">
        <v>399</v>
      </c>
      <c r="Q19" s="182"/>
      <c r="R19" s="209">
        <f>VLOOKUP($B19,'CIRS Table IDs'!$B:$P,14,FALSE)</f>
        <v>541</v>
      </c>
    </row>
    <row r="20" spans="1:19" x14ac:dyDescent="0.2">
      <c r="A20" s="21">
        <v>25</v>
      </c>
      <c r="B20" s="45" t="s">
        <v>406</v>
      </c>
      <c r="C20" s="35">
        <f t="shared" si="0"/>
        <v>42704</v>
      </c>
      <c r="D20" s="36">
        <v>2016</v>
      </c>
      <c r="E20" s="36">
        <v>335</v>
      </c>
      <c r="F20" s="37">
        <v>0.30175925925925901</v>
      </c>
      <c r="G20" s="178">
        <v>0.16666666666666699</v>
      </c>
      <c r="H20" s="35">
        <f t="shared" si="1"/>
        <v>42704</v>
      </c>
      <c r="I20" s="36">
        <v>2016</v>
      </c>
      <c r="J20" s="36">
        <v>335</v>
      </c>
      <c r="K20" s="37">
        <v>0.46842592592592602</v>
      </c>
      <c r="L20" s="41">
        <v>4000</v>
      </c>
      <c r="M20" s="42">
        <v>57.6</v>
      </c>
      <c r="N20" s="179" t="s">
        <v>366</v>
      </c>
      <c r="O20" s="180" t="s">
        <v>398</v>
      </c>
      <c r="P20" s="181" t="s">
        <v>403</v>
      </c>
      <c r="Q20" s="182"/>
      <c r="R20" s="209">
        <f>VLOOKUP($B20,'CIRS Table IDs'!$B:$P,14,FALSE)</f>
        <v>591</v>
      </c>
    </row>
    <row r="21" spans="1:19" x14ac:dyDescent="0.2">
      <c r="A21" s="21">
        <v>26</v>
      </c>
      <c r="B21" s="45" t="s">
        <v>407</v>
      </c>
      <c r="C21" s="35">
        <f t="shared" si="0"/>
        <v>42704</v>
      </c>
      <c r="D21" s="36">
        <v>2016</v>
      </c>
      <c r="E21" s="36">
        <v>335</v>
      </c>
      <c r="F21" s="37">
        <v>0.46842592592592602</v>
      </c>
      <c r="G21" s="178">
        <v>0.27324074074074101</v>
      </c>
      <c r="H21" s="35">
        <f t="shared" si="1"/>
        <v>42704</v>
      </c>
      <c r="I21" s="36">
        <v>2016</v>
      </c>
      <c r="J21" s="36">
        <v>335</v>
      </c>
      <c r="K21" s="37">
        <v>0.74166666666666703</v>
      </c>
      <c r="L21" s="41">
        <v>1900</v>
      </c>
      <c r="M21" s="42">
        <v>44.854999999999997</v>
      </c>
      <c r="N21" s="179" t="s">
        <v>366</v>
      </c>
      <c r="O21" s="180" t="s">
        <v>405</v>
      </c>
      <c r="P21" s="181" t="s">
        <v>403</v>
      </c>
      <c r="Q21" s="182" t="s">
        <v>408</v>
      </c>
      <c r="R21" s="209">
        <f>VLOOKUP($B21,'CIRS Table IDs'!$B:$P,14,FALSE)</f>
        <v>473</v>
      </c>
    </row>
    <row r="22" spans="1:19" x14ac:dyDescent="0.2">
      <c r="A22" s="21">
        <v>45</v>
      </c>
      <c r="B22" s="45" t="s">
        <v>436</v>
      </c>
      <c r="C22" s="35">
        <f t="shared" si="0"/>
        <v>42719</v>
      </c>
      <c r="D22" s="36">
        <v>2016</v>
      </c>
      <c r="E22" s="36">
        <v>350</v>
      </c>
      <c r="F22" s="37">
        <v>0.26111111111111102</v>
      </c>
      <c r="G22" s="178">
        <v>0.16666666666666699</v>
      </c>
      <c r="H22" s="35">
        <f t="shared" si="1"/>
        <v>42719</v>
      </c>
      <c r="I22" s="36">
        <v>2016</v>
      </c>
      <c r="J22" s="36">
        <v>350</v>
      </c>
      <c r="K22" s="37">
        <v>0.42777777777777798</v>
      </c>
      <c r="L22" s="41">
        <v>3600</v>
      </c>
      <c r="M22" s="42">
        <v>51.84</v>
      </c>
      <c r="N22" s="179" t="s">
        <v>366</v>
      </c>
      <c r="O22" s="180" t="s">
        <v>405</v>
      </c>
      <c r="P22" s="181" t="s">
        <v>437</v>
      </c>
      <c r="Q22" s="182" t="s">
        <v>438</v>
      </c>
      <c r="R22" s="209">
        <f>VLOOKUP($B22,'CIRS Table IDs'!$B:$P,14,FALSE)</f>
        <v>541</v>
      </c>
    </row>
    <row r="23" spans="1:19" x14ac:dyDescent="0.2">
      <c r="A23" s="21">
        <v>46</v>
      </c>
      <c r="B23" s="45" t="s">
        <v>439</v>
      </c>
      <c r="C23" s="35">
        <f t="shared" si="0"/>
        <v>42719</v>
      </c>
      <c r="D23" s="36">
        <v>2016</v>
      </c>
      <c r="E23" s="36">
        <v>350</v>
      </c>
      <c r="F23" s="37">
        <v>0.42777777777777798</v>
      </c>
      <c r="G23" s="178">
        <v>0.25347222222222199</v>
      </c>
      <c r="H23" s="35">
        <f t="shared" si="1"/>
        <v>42719</v>
      </c>
      <c r="I23" s="36">
        <v>2016</v>
      </c>
      <c r="J23" s="36">
        <v>350</v>
      </c>
      <c r="K23" s="37">
        <v>0.68125000000000002</v>
      </c>
      <c r="L23" s="41">
        <v>3600</v>
      </c>
      <c r="M23" s="42">
        <v>78.84</v>
      </c>
      <c r="N23" s="179" t="s">
        <v>366</v>
      </c>
      <c r="O23" s="180" t="s">
        <v>405</v>
      </c>
      <c r="P23" s="181" t="s">
        <v>399</v>
      </c>
      <c r="Q23" s="182" t="s">
        <v>440</v>
      </c>
      <c r="R23" s="209">
        <f>VLOOKUP($B23,'CIRS Table IDs'!$B:$P,14,FALSE)</f>
        <v>467</v>
      </c>
    </row>
    <row r="24" spans="1:19" x14ac:dyDescent="0.2">
      <c r="A24" s="21">
        <v>47</v>
      </c>
      <c r="B24" s="45" t="s">
        <v>441</v>
      </c>
      <c r="C24" s="35">
        <f t="shared" si="0"/>
        <v>42719</v>
      </c>
      <c r="D24" s="36">
        <v>2016</v>
      </c>
      <c r="E24" s="36">
        <v>350</v>
      </c>
      <c r="F24" s="37">
        <v>0.68125000000000002</v>
      </c>
      <c r="G24" s="178">
        <v>4.1666666666666699E-2</v>
      </c>
      <c r="H24" s="35">
        <f t="shared" si="1"/>
        <v>42719</v>
      </c>
      <c r="I24" s="36">
        <v>2016</v>
      </c>
      <c r="J24" s="36">
        <v>350</v>
      </c>
      <c r="K24" s="37">
        <v>0.72291666666666698</v>
      </c>
      <c r="L24" s="41">
        <v>3600</v>
      </c>
      <c r="M24" s="42">
        <v>12.96</v>
      </c>
      <c r="N24" s="179" t="s">
        <v>370</v>
      </c>
      <c r="O24" s="180" t="s">
        <v>363</v>
      </c>
      <c r="P24" s="181" t="s">
        <v>363</v>
      </c>
      <c r="Q24" s="182"/>
      <c r="R24" s="209">
        <f>VLOOKUP($B24,'CIRS Table IDs'!$B:$P,14,FALSE)</f>
        <v>491</v>
      </c>
    </row>
    <row r="25" spans="1:19" x14ac:dyDescent="0.2">
      <c r="A25" s="21">
        <v>48</v>
      </c>
      <c r="B25" s="45" t="s">
        <v>442</v>
      </c>
      <c r="C25" s="35">
        <f t="shared" si="0"/>
        <v>42719</v>
      </c>
      <c r="D25" s="36">
        <v>2016</v>
      </c>
      <c r="E25" s="36">
        <v>350</v>
      </c>
      <c r="F25" s="37">
        <v>0.72291666666666698</v>
      </c>
      <c r="G25" s="178">
        <v>0.16666666666666699</v>
      </c>
      <c r="H25" s="35">
        <f t="shared" si="1"/>
        <v>42719</v>
      </c>
      <c r="I25" s="36">
        <v>2016</v>
      </c>
      <c r="J25" s="36">
        <v>350</v>
      </c>
      <c r="K25" s="37">
        <v>0.88958333333333295</v>
      </c>
      <c r="L25" s="41">
        <v>3600</v>
      </c>
      <c r="M25" s="42">
        <v>51.84</v>
      </c>
      <c r="N25" s="179" t="s">
        <v>366</v>
      </c>
      <c r="O25" s="180" t="s">
        <v>405</v>
      </c>
      <c r="P25" s="181" t="s">
        <v>437</v>
      </c>
      <c r="Q25" s="182" t="s">
        <v>443</v>
      </c>
      <c r="R25" s="209">
        <f>VLOOKUP($B25,'CIRS Table IDs'!$B:$P,14,FALSE)</f>
        <v>541</v>
      </c>
    </row>
    <row r="26" spans="1:19" x14ac:dyDescent="0.2">
      <c r="A26" s="21">
        <v>49</v>
      </c>
      <c r="B26" s="45" t="s">
        <v>444</v>
      </c>
      <c r="C26" s="35">
        <f t="shared" si="0"/>
        <v>42719</v>
      </c>
      <c r="D26" s="36">
        <v>2016</v>
      </c>
      <c r="E26" s="36">
        <v>350</v>
      </c>
      <c r="F26" s="37">
        <v>0.88958333333333295</v>
      </c>
      <c r="G26" s="178">
        <v>4.1666666666666699E-2</v>
      </c>
      <c r="H26" s="35">
        <f t="shared" si="1"/>
        <v>42719</v>
      </c>
      <c r="I26" s="36">
        <v>2016</v>
      </c>
      <c r="J26" s="36">
        <v>350</v>
      </c>
      <c r="K26" s="37">
        <v>0.93125000000000002</v>
      </c>
      <c r="L26" s="41">
        <v>3600</v>
      </c>
      <c r="M26" s="42">
        <v>12.96</v>
      </c>
      <c r="N26" s="179" t="s">
        <v>370</v>
      </c>
      <c r="O26" s="180" t="s">
        <v>363</v>
      </c>
      <c r="P26" s="181" t="s">
        <v>363</v>
      </c>
      <c r="Q26" s="182"/>
      <c r="R26" s="209">
        <f>VLOOKUP($B26,'CIRS Table IDs'!$B:$P,14,FALSE)</f>
        <v>491</v>
      </c>
    </row>
    <row r="27" spans="1:19" s="64" customFormat="1" x14ac:dyDescent="0.2">
      <c r="A27" s="21">
        <v>50</v>
      </c>
      <c r="B27" s="45" t="s">
        <v>445</v>
      </c>
      <c r="C27" s="35">
        <f t="shared" si="0"/>
        <v>42719</v>
      </c>
      <c r="D27" s="36">
        <v>2016</v>
      </c>
      <c r="E27" s="36">
        <v>350</v>
      </c>
      <c r="F27" s="37">
        <v>0.93125000000000002</v>
      </c>
      <c r="G27" s="178">
        <v>0.16666666666666699</v>
      </c>
      <c r="H27" s="35">
        <f t="shared" si="1"/>
        <v>42720</v>
      </c>
      <c r="I27" s="36">
        <v>2016</v>
      </c>
      <c r="J27" s="36">
        <v>351</v>
      </c>
      <c r="K27" s="37">
        <v>9.7916666666666693E-2</v>
      </c>
      <c r="L27" s="41">
        <v>3600</v>
      </c>
      <c r="M27" s="42">
        <v>51.84</v>
      </c>
      <c r="N27" s="179" t="s">
        <v>366</v>
      </c>
      <c r="O27" s="180" t="s">
        <v>405</v>
      </c>
      <c r="P27" s="181" t="s">
        <v>399</v>
      </c>
      <c r="Q27" s="509" t="s">
        <v>440</v>
      </c>
      <c r="R27" s="209">
        <f>VLOOKUP($B27,'CIRS Table IDs'!$B:$P,14,FALSE)</f>
        <v>467</v>
      </c>
      <c r="S27" s="270"/>
    </row>
    <row r="28" spans="1:19" x14ac:dyDescent="0.2">
      <c r="A28" s="21">
        <v>51</v>
      </c>
      <c r="B28" s="45" t="s">
        <v>446</v>
      </c>
      <c r="C28" s="35">
        <f t="shared" si="0"/>
        <v>42720</v>
      </c>
      <c r="D28" s="36">
        <v>2016</v>
      </c>
      <c r="E28" s="36">
        <v>351</v>
      </c>
      <c r="F28" s="37">
        <v>9.7916666666666693E-2</v>
      </c>
      <c r="G28" s="178">
        <v>4.1666666666666699E-2</v>
      </c>
      <c r="H28" s="35">
        <f t="shared" si="1"/>
        <v>42720</v>
      </c>
      <c r="I28" s="36">
        <v>2016</v>
      </c>
      <c r="J28" s="36">
        <v>351</v>
      </c>
      <c r="K28" s="37">
        <v>0.139583333333333</v>
      </c>
      <c r="L28" s="41">
        <v>3600</v>
      </c>
      <c r="M28" s="42">
        <v>12.96</v>
      </c>
      <c r="N28" s="179" t="s">
        <v>370</v>
      </c>
      <c r="O28" s="183"/>
      <c r="P28" s="184"/>
      <c r="Q28" s="210"/>
      <c r="R28" s="209">
        <f>VLOOKUP($B28,'CIRS Table IDs'!$B:$P,14,FALSE)</f>
        <v>491</v>
      </c>
    </row>
    <row r="29" spans="1:19" x14ac:dyDescent="0.2">
      <c r="A29" s="21">
        <v>52</v>
      </c>
      <c r="B29" s="45" t="s">
        <v>447</v>
      </c>
      <c r="C29" s="35">
        <f t="shared" si="0"/>
        <v>42720</v>
      </c>
      <c r="D29" s="36">
        <v>2016</v>
      </c>
      <c r="E29" s="36">
        <v>351</v>
      </c>
      <c r="F29" s="37">
        <v>0.139583333333333</v>
      </c>
      <c r="G29" s="178">
        <v>6.25E-2</v>
      </c>
      <c r="H29" s="35">
        <f t="shared" si="1"/>
        <v>42720</v>
      </c>
      <c r="I29" s="36">
        <v>2016</v>
      </c>
      <c r="J29" s="36">
        <v>351</v>
      </c>
      <c r="K29" s="37">
        <v>0.202083333333333</v>
      </c>
      <c r="L29" s="41">
        <v>3600</v>
      </c>
      <c r="M29" s="42">
        <v>19.440000000000001</v>
      </c>
      <c r="N29" s="179" t="s">
        <v>366</v>
      </c>
      <c r="O29" s="183" t="s">
        <v>405</v>
      </c>
      <c r="P29" s="184" t="s">
        <v>437</v>
      </c>
      <c r="Q29" s="182" t="s">
        <v>448</v>
      </c>
      <c r="R29" s="209">
        <f>VLOOKUP($B29,'CIRS Table IDs'!$B:$P,14,FALSE)</f>
        <v>541</v>
      </c>
    </row>
    <row r="30" spans="1:19" x14ac:dyDescent="0.2">
      <c r="A30" s="21">
        <v>53</v>
      </c>
      <c r="B30" s="45" t="s">
        <v>449</v>
      </c>
      <c r="C30" s="35">
        <f t="shared" si="0"/>
        <v>42720</v>
      </c>
      <c r="D30" s="36">
        <v>2016</v>
      </c>
      <c r="E30" s="36">
        <v>351</v>
      </c>
      <c r="F30" s="37">
        <v>0.202083333333333</v>
      </c>
      <c r="G30" s="178">
        <v>4.1666666666666699E-2</v>
      </c>
      <c r="H30" s="35">
        <f t="shared" si="1"/>
        <v>42720</v>
      </c>
      <c r="I30" s="36">
        <v>2016</v>
      </c>
      <c r="J30" s="36">
        <v>351</v>
      </c>
      <c r="K30" s="37">
        <v>0.24374999999999999</v>
      </c>
      <c r="L30" s="41">
        <v>3600</v>
      </c>
      <c r="M30" s="42">
        <v>12.96</v>
      </c>
      <c r="N30" s="179" t="s">
        <v>370</v>
      </c>
      <c r="O30" s="183"/>
      <c r="P30" s="184"/>
      <c r="Q30" s="182"/>
      <c r="R30" s="209">
        <f>VLOOKUP($B30,'CIRS Table IDs'!$B:$P,14,FALSE)</f>
        <v>541</v>
      </c>
    </row>
    <row r="31" spans="1:19" x14ac:dyDescent="0.2">
      <c r="A31" s="21">
        <v>54</v>
      </c>
      <c r="B31" s="45" t="s">
        <v>450</v>
      </c>
      <c r="C31" s="35">
        <f t="shared" si="0"/>
        <v>42720</v>
      </c>
      <c r="D31" s="36">
        <v>2016</v>
      </c>
      <c r="E31" s="36">
        <v>351</v>
      </c>
      <c r="F31" s="37">
        <v>0.24374999999999999</v>
      </c>
      <c r="G31" s="178">
        <v>6.25E-2</v>
      </c>
      <c r="H31" s="35">
        <f t="shared" si="1"/>
        <v>42720</v>
      </c>
      <c r="I31" s="36">
        <v>2016</v>
      </c>
      <c r="J31" s="36">
        <v>351</v>
      </c>
      <c r="K31" s="37">
        <v>0.30625000000000002</v>
      </c>
      <c r="L31" s="41">
        <v>3600</v>
      </c>
      <c r="M31" s="42">
        <v>19.440000000000001</v>
      </c>
      <c r="N31" s="179" t="s">
        <v>366</v>
      </c>
      <c r="O31" s="183" t="s">
        <v>405</v>
      </c>
      <c r="P31" s="184" t="s">
        <v>399</v>
      </c>
      <c r="Q31" s="182" t="s">
        <v>440</v>
      </c>
      <c r="R31" s="209">
        <f>VLOOKUP($B31,'CIRS Table IDs'!$B:$P,14,FALSE)</f>
        <v>467</v>
      </c>
    </row>
    <row r="32" spans="1:19" x14ac:dyDescent="0.2">
      <c r="A32" s="21">
        <v>55</v>
      </c>
      <c r="B32" s="45" t="s">
        <v>451</v>
      </c>
      <c r="C32" s="35">
        <f t="shared" si="0"/>
        <v>42720</v>
      </c>
      <c r="D32" s="36">
        <v>2016</v>
      </c>
      <c r="E32" s="36">
        <v>351</v>
      </c>
      <c r="F32" s="37">
        <v>0.30625000000000002</v>
      </c>
      <c r="G32" s="178">
        <v>4.1666666666666699E-2</v>
      </c>
      <c r="H32" s="35">
        <f t="shared" si="1"/>
        <v>42720</v>
      </c>
      <c r="I32" s="36">
        <v>2016</v>
      </c>
      <c r="J32" s="36">
        <v>351</v>
      </c>
      <c r="K32" s="37">
        <v>0.34791666666666698</v>
      </c>
      <c r="L32" s="41">
        <v>3600</v>
      </c>
      <c r="M32" s="42">
        <v>12.96</v>
      </c>
      <c r="N32" s="179" t="s">
        <v>370</v>
      </c>
      <c r="O32" s="183"/>
      <c r="P32" s="184"/>
      <c r="Q32" s="507"/>
      <c r="R32" s="209">
        <f>VLOOKUP($B32,'CIRS Table IDs'!$B:$P,14,FALSE)</f>
        <v>491</v>
      </c>
    </row>
    <row r="33" spans="1:19" x14ac:dyDescent="0.2">
      <c r="A33" s="21">
        <v>56</v>
      </c>
      <c r="B33" s="45" t="s">
        <v>452</v>
      </c>
      <c r="C33" s="35">
        <f t="shared" si="0"/>
        <v>42720</v>
      </c>
      <c r="D33" s="36">
        <v>2016</v>
      </c>
      <c r="E33" s="36">
        <v>351</v>
      </c>
      <c r="F33" s="37">
        <v>0.34791666666666698</v>
      </c>
      <c r="G33" s="178">
        <v>9.1666666666666702E-2</v>
      </c>
      <c r="H33" s="35">
        <f t="shared" si="1"/>
        <v>42720</v>
      </c>
      <c r="I33" s="36">
        <v>2016</v>
      </c>
      <c r="J33" s="36">
        <v>351</v>
      </c>
      <c r="K33" s="37">
        <v>0.43958333333333299</v>
      </c>
      <c r="L33" s="41">
        <v>3600</v>
      </c>
      <c r="M33" s="42">
        <v>28.512</v>
      </c>
      <c r="N33" s="179" t="s">
        <v>366</v>
      </c>
      <c r="O33" s="183" t="s">
        <v>405</v>
      </c>
      <c r="P33" s="184" t="s">
        <v>399</v>
      </c>
      <c r="Q33" s="508" t="s">
        <v>440</v>
      </c>
      <c r="R33" s="209">
        <f>VLOOKUP($B33,'CIRS Table IDs'!$B:$P,14,FALSE)</f>
        <v>467</v>
      </c>
    </row>
    <row r="34" spans="1:19" x14ac:dyDescent="0.2">
      <c r="A34" s="21">
        <v>57</v>
      </c>
      <c r="B34" s="45" t="s">
        <v>453</v>
      </c>
      <c r="C34" s="35">
        <f t="shared" si="0"/>
        <v>42720</v>
      </c>
      <c r="D34" s="36">
        <v>2016</v>
      </c>
      <c r="E34" s="36">
        <v>351</v>
      </c>
      <c r="F34" s="37">
        <v>0.43958333333333299</v>
      </c>
      <c r="G34" s="178">
        <v>4.1666666666666699E-2</v>
      </c>
      <c r="H34" s="35">
        <f t="shared" si="1"/>
        <v>42720</v>
      </c>
      <c r="I34" s="36">
        <v>2016</v>
      </c>
      <c r="J34" s="36">
        <v>351</v>
      </c>
      <c r="K34" s="37">
        <v>0.48125000000000001</v>
      </c>
      <c r="L34" s="41">
        <v>3600</v>
      </c>
      <c r="M34" s="42">
        <v>12.96</v>
      </c>
      <c r="N34" s="179" t="s">
        <v>370</v>
      </c>
      <c r="O34" s="183"/>
      <c r="P34" s="184"/>
      <c r="Q34" s="508"/>
      <c r="R34" s="209">
        <f>VLOOKUP($B34,'CIRS Table IDs'!$B:$P,14,FALSE)</f>
        <v>491</v>
      </c>
    </row>
    <row r="35" spans="1:19" x14ac:dyDescent="0.2">
      <c r="A35" s="21">
        <v>61</v>
      </c>
      <c r="B35" s="45" t="s">
        <v>457</v>
      </c>
      <c r="C35" s="35">
        <f t="shared" si="0"/>
        <v>42722</v>
      </c>
      <c r="D35" s="36">
        <v>2016</v>
      </c>
      <c r="E35" s="36">
        <v>353</v>
      </c>
      <c r="F35" s="37">
        <v>0.17569444444444399</v>
      </c>
      <c r="G35" s="178">
        <v>8.3333333333333301E-2</v>
      </c>
      <c r="H35" s="35">
        <f t="shared" si="1"/>
        <v>42722</v>
      </c>
      <c r="I35" s="36">
        <v>2016</v>
      </c>
      <c r="J35" s="36">
        <v>353</v>
      </c>
      <c r="K35" s="37">
        <v>0.25902777777777802</v>
      </c>
      <c r="L35" s="41">
        <v>4000</v>
      </c>
      <c r="M35" s="42">
        <v>28.8</v>
      </c>
      <c r="N35" s="179" t="s">
        <v>370</v>
      </c>
      <c r="O35" s="183"/>
      <c r="P35" s="184"/>
      <c r="Q35" s="182"/>
      <c r="R35" s="209">
        <f>VLOOKUP($B35,'CIRS Table IDs'!$B:$P,14,FALSE)</f>
        <v>341</v>
      </c>
    </row>
    <row r="36" spans="1:19" x14ac:dyDescent="0.2">
      <c r="A36" s="21">
        <v>72</v>
      </c>
      <c r="B36" s="45" t="s">
        <v>476</v>
      </c>
      <c r="C36" s="35">
        <f t="shared" si="0"/>
        <v>42724</v>
      </c>
      <c r="D36" s="36">
        <v>2016</v>
      </c>
      <c r="E36" s="36">
        <v>355</v>
      </c>
      <c r="F36" s="37">
        <v>0.28402777777777799</v>
      </c>
      <c r="G36" s="178">
        <v>6.25E-2</v>
      </c>
      <c r="H36" s="35">
        <f t="shared" si="1"/>
        <v>42724</v>
      </c>
      <c r="I36" s="36">
        <v>2016</v>
      </c>
      <c r="J36" s="36">
        <v>355</v>
      </c>
      <c r="K36" s="37">
        <v>0.34652777777777799</v>
      </c>
      <c r="L36" s="41">
        <v>4000</v>
      </c>
      <c r="M36" s="42">
        <v>21.6</v>
      </c>
      <c r="N36" s="179" t="s">
        <v>370</v>
      </c>
      <c r="O36" s="183"/>
      <c r="P36" s="184"/>
      <c r="Q36" s="508"/>
      <c r="R36" s="209">
        <f>VLOOKUP($B36,'CIRS Table IDs'!$B:$P,14,FALSE)</f>
        <v>341</v>
      </c>
    </row>
    <row r="37" spans="1:19" x14ac:dyDescent="0.2">
      <c r="A37" s="21">
        <v>84</v>
      </c>
      <c r="B37" s="45" t="s">
        <v>496</v>
      </c>
      <c r="C37" s="35">
        <f t="shared" si="0"/>
        <v>42729</v>
      </c>
      <c r="D37" s="36">
        <v>2016</v>
      </c>
      <c r="E37" s="36">
        <v>360</v>
      </c>
      <c r="F37" s="37">
        <v>0.45486111111111099</v>
      </c>
      <c r="G37" s="178">
        <v>6.25E-2</v>
      </c>
      <c r="H37" s="35">
        <f t="shared" si="1"/>
        <v>42729</v>
      </c>
      <c r="I37" s="36">
        <v>2016</v>
      </c>
      <c r="J37" s="36">
        <v>360</v>
      </c>
      <c r="K37" s="37">
        <v>0.51736111111111105</v>
      </c>
      <c r="L37" s="41">
        <v>4000</v>
      </c>
      <c r="M37" s="42">
        <v>21.6</v>
      </c>
      <c r="N37" s="179" t="s">
        <v>370</v>
      </c>
      <c r="O37" s="183"/>
      <c r="P37" s="184"/>
      <c r="Q37" s="508"/>
      <c r="R37" s="209">
        <f>VLOOKUP($B37,'CIRS Table IDs'!$B:$P,14,FALSE)</f>
        <v>341</v>
      </c>
    </row>
    <row r="38" spans="1:19" x14ac:dyDescent="0.2">
      <c r="A38" s="21">
        <v>91</v>
      </c>
      <c r="B38" s="45" t="s">
        <v>507</v>
      </c>
      <c r="C38" s="35">
        <f t="shared" si="0"/>
        <v>42734</v>
      </c>
      <c r="D38" s="36">
        <v>2016</v>
      </c>
      <c r="E38" s="36">
        <v>365</v>
      </c>
      <c r="F38" s="37">
        <v>0.89652777777777803</v>
      </c>
      <c r="G38" s="178">
        <v>0.20833333333333301</v>
      </c>
      <c r="H38" s="35">
        <f t="shared" si="1"/>
        <v>42735</v>
      </c>
      <c r="I38" s="36">
        <v>2016</v>
      </c>
      <c r="J38" s="36">
        <v>366</v>
      </c>
      <c r="K38" s="37">
        <v>0.104861111111111</v>
      </c>
      <c r="L38" s="41">
        <v>3600</v>
      </c>
      <c r="M38" s="42">
        <v>64.8</v>
      </c>
      <c r="N38" s="179" t="s">
        <v>370</v>
      </c>
      <c r="O38" s="183"/>
      <c r="P38" s="184"/>
      <c r="Q38" s="182"/>
      <c r="R38" s="209">
        <f>VLOOKUP($B38,'CIRS Table IDs'!$B:$P,14,FALSE)</f>
        <v>541</v>
      </c>
    </row>
    <row r="39" spans="1:19" x14ac:dyDescent="0.2">
      <c r="A39" s="21">
        <v>92</v>
      </c>
      <c r="B39" s="45" t="s">
        <v>508</v>
      </c>
      <c r="C39" s="35">
        <f t="shared" si="0"/>
        <v>42735</v>
      </c>
      <c r="D39" s="36">
        <v>2016</v>
      </c>
      <c r="E39" s="36">
        <v>366</v>
      </c>
      <c r="F39" s="37">
        <v>0.104861111111111</v>
      </c>
      <c r="G39" s="178">
        <v>0.20833333333333301</v>
      </c>
      <c r="H39" s="35">
        <f t="shared" si="1"/>
        <v>42735</v>
      </c>
      <c r="I39" s="36">
        <v>2016</v>
      </c>
      <c r="J39" s="36">
        <v>366</v>
      </c>
      <c r="K39" s="37">
        <v>0.313194444444444</v>
      </c>
      <c r="L39" s="41">
        <v>3600</v>
      </c>
      <c r="M39" s="42">
        <v>64.8</v>
      </c>
      <c r="N39" s="179" t="s">
        <v>370</v>
      </c>
      <c r="O39" s="183"/>
      <c r="P39" s="184"/>
      <c r="Q39" s="182"/>
      <c r="R39" s="209">
        <f>VLOOKUP($B39,'CIRS Table IDs'!$B:$P,14,FALSE)</f>
        <v>541</v>
      </c>
    </row>
    <row r="40" spans="1:19" x14ac:dyDescent="0.2">
      <c r="A40" s="21">
        <v>93</v>
      </c>
      <c r="B40" s="45" t="s">
        <v>509</v>
      </c>
      <c r="C40" s="35">
        <f t="shared" ref="C40:C58" si="2">DATE(D40,1,E40)</f>
        <v>42735</v>
      </c>
      <c r="D40" s="36">
        <v>2016</v>
      </c>
      <c r="E40" s="36">
        <v>366</v>
      </c>
      <c r="F40" s="37">
        <v>0.313194444444444</v>
      </c>
      <c r="G40" s="178">
        <v>0.20833333333333301</v>
      </c>
      <c r="H40" s="35">
        <f t="shared" si="1"/>
        <v>42735</v>
      </c>
      <c r="I40" s="36">
        <v>2016</v>
      </c>
      <c r="J40" s="36">
        <v>366</v>
      </c>
      <c r="K40" s="37">
        <v>0.52152777777777803</v>
      </c>
      <c r="L40" s="41">
        <v>3600</v>
      </c>
      <c r="M40" s="42">
        <v>64.8</v>
      </c>
      <c r="N40" s="179" t="s">
        <v>370</v>
      </c>
      <c r="O40" s="180" t="s">
        <v>363</v>
      </c>
      <c r="P40" s="181" t="s">
        <v>363</v>
      </c>
      <c r="Q40" s="182"/>
      <c r="R40" s="209">
        <f>VLOOKUP($B40,'CIRS Table IDs'!$B:$P,14,FALSE)</f>
        <v>541</v>
      </c>
    </row>
    <row r="41" spans="1:19" x14ac:dyDescent="0.2">
      <c r="A41" s="21">
        <v>94</v>
      </c>
      <c r="B41" s="45" t="s">
        <v>510</v>
      </c>
      <c r="C41" s="35">
        <f t="shared" si="2"/>
        <v>42735</v>
      </c>
      <c r="D41" s="36">
        <v>2016</v>
      </c>
      <c r="E41" s="36">
        <v>366</v>
      </c>
      <c r="F41" s="37">
        <v>0.52152777777777803</v>
      </c>
      <c r="G41" s="178">
        <v>0.20833333333333301</v>
      </c>
      <c r="H41" s="35">
        <f t="shared" ref="H41:H57" si="3">DATE(I41,1,J41)</f>
        <v>42735</v>
      </c>
      <c r="I41" s="36">
        <v>2016</v>
      </c>
      <c r="J41" s="36">
        <v>366</v>
      </c>
      <c r="K41" s="37">
        <v>0.72986111111111096</v>
      </c>
      <c r="L41" s="41">
        <v>3600</v>
      </c>
      <c r="M41" s="42">
        <v>64.8</v>
      </c>
      <c r="N41" s="179" t="s">
        <v>370</v>
      </c>
      <c r="O41" s="180" t="s">
        <v>363</v>
      </c>
      <c r="P41" s="181" t="s">
        <v>363</v>
      </c>
      <c r="Q41" s="182"/>
      <c r="R41" s="209">
        <f>VLOOKUP($B41,'CIRS Table IDs'!$B:$P,14,FALSE)</f>
        <v>541</v>
      </c>
    </row>
    <row r="42" spans="1:19" x14ac:dyDescent="0.2">
      <c r="A42" s="21">
        <v>95</v>
      </c>
      <c r="B42" s="45" t="s">
        <v>511</v>
      </c>
      <c r="C42" s="35">
        <f t="shared" si="2"/>
        <v>42735</v>
      </c>
      <c r="D42" s="36">
        <v>2016</v>
      </c>
      <c r="E42" s="36">
        <v>366</v>
      </c>
      <c r="F42" s="37">
        <v>0.72986111111111096</v>
      </c>
      <c r="G42" s="178">
        <v>0.20833333333333301</v>
      </c>
      <c r="H42" s="35">
        <f t="shared" si="3"/>
        <v>42735</v>
      </c>
      <c r="I42" s="36">
        <v>2016</v>
      </c>
      <c r="J42" s="36">
        <v>366</v>
      </c>
      <c r="K42" s="37">
        <v>0.938194444444444</v>
      </c>
      <c r="L42" s="41">
        <v>3600</v>
      </c>
      <c r="M42" s="42">
        <v>64.8</v>
      </c>
      <c r="N42" s="179" t="s">
        <v>370</v>
      </c>
      <c r="O42" s="180" t="s">
        <v>363</v>
      </c>
      <c r="P42" s="181" t="s">
        <v>363</v>
      </c>
      <c r="Q42" s="182"/>
      <c r="R42" s="209">
        <f>VLOOKUP($B42,'CIRS Table IDs'!$B:$P,14,FALSE)</f>
        <v>541</v>
      </c>
    </row>
    <row r="43" spans="1:19" x14ac:dyDescent="0.2">
      <c r="A43" s="21">
        <v>96</v>
      </c>
      <c r="B43" s="45" t="s">
        <v>512</v>
      </c>
      <c r="C43" s="35">
        <f t="shared" si="2"/>
        <v>42735</v>
      </c>
      <c r="D43" s="36">
        <v>2016</v>
      </c>
      <c r="E43" s="36">
        <v>366</v>
      </c>
      <c r="F43" s="37">
        <v>0.938194444444444</v>
      </c>
      <c r="G43" s="178">
        <v>3.54166666666667E-2</v>
      </c>
      <c r="H43" s="35">
        <f t="shared" si="3"/>
        <v>42735</v>
      </c>
      <c r="I43" s="36">
        <v>2016</v>
      </c>
      <c r="J43" s="36">
        <v>366</v>
      </c>
      <c r="K43" s="37">
        <v>0.97361111111111098</v>
      </c>
      <c r="L43" s="41">
        <v>3600</v>
      </c>
      <c r="M43" s="42">
        <v>11.016</v>
      </c>
      <c r="N43" s="179" t="s">
        <v>370</v>
      </c>
      <c r="O43" s="180" t="s">
        <v>363</v>
      </c>
      <c r="P43" s="181" t="s">
        <v>363</v>
      </c>
      <c r="Q43" s="182"/>
      <c r="R43" s="209">
        <f>VLOOKUP($B43,'CIRS Table IDs'!$B:$P,14,FALSE)</f>
        <v>541</v>
      </c>
    </row>
    <row r="44" spans="1:19" x14ac:dyDescent="0.2">
      <c r="A44" s="21">
        <v>129</v>
      </c>
      <c r="B44" s="45" t="s">
        <v>562</v>
      </c>
      <c r="C44" s="35">
        <f t="shared" si="2"/>
        <v>42746</v>
      </c>
      <c r="D44" s="36">
        <v>2017</v>
      </c>
      <c r="E44" s="36">
        <v>11</v>
      </c>
      <c r="F44" s="37">
        <v>2.5000000000000001E-2</v>
      </c>
      <c r="G44" s="178">
        <v>6.25E-2</v>
      </c>
      <c r="H44" s="35">
        <f t="shared" si="3"/>
        <v>42746</v>
      </c>
      <c r="I44" s="36">
        <v>2017</v>
      </c>
      <c r="J44" s="36">
        <v>11</v>
      </c>
      <c r="K44" s="37">
        <v>8.7499999999999994E-2</v>
      </c>
      <c r="L44" s="41">
        <v>4000</v>
      </c>
      <c r="M44" s="42">
        <v>21.6</v>
      </c>
      <c r="N44" s="179" t="s">
        <v>370</v>
      </c>
      <c r="O44" s="180" t="s">
        <v>363</v>
      </c>
      <c r="P44" s="181" t="s">
        <v>363</v>
      </c>
      <c r="Q44" s="182"/>
      <c r="R44" s="209">
        <f>VLOOKUP($B44,'CIRS Table IDs'!$B:$P,14,FALSE)</f>
        <v>341</v>
      </c>
    </row>
    <row r="45" spans="1:19" x14ac:dyDescent="0.2">
      <c r="A45" s="21">
        <v>132</v>
      </c>
      <c r="B45" s="45" t="s">
        <v>565</v>
      </c>
      <c r="C45" s="35">
        <f t="shared" si="2"/>
        <v>42746</v>
      </c>
      <c r="D45" s="36">
        <v>2017</v>
      </c>
      <c r="E45" s="36">
        <v>11</v>
      </c>
      <c r="F45" s="37">
        <v>0.87847222222222199</v>
      </c>
      <c r="G45" s="178">
        <v>6.25E-2</v>
      </c>
      <c r="H45" s="35">
        <f t="shared" si="3"/>
        <v>42746</v>
      </c>
      <c r="I45" s="36">
        <v>2017</v>
      </c>
      <c r="J45" s="36">
        <v>11</v>
      </c>
      <c r="K45" s="37">
        <v>0.94097222222222199</v>
      </c>
      <c r="L45" s="41">
        <v>4000</v>
      </c>
      <c r="M45" s="42">
        <v>21.6</v>
      </c>
      <c r="N45" s="179" t="s">
        <v>370</v>
      </c>
      <c r="O45" s="180" t="s">
        <v>363</v>
      </c>
      <c r="P45" s="181" t="s">
        <v>363</v>
      </c>
      <c r="Q45" s="182"/>
      <c r="R45" s="209">
        <f>VLOOKUP($B45,'CIRS Table IDs'!$B:$P,14,FALSE)</f>
        <v>341</v>
      </c>
    </row>
    <row r="46" spans="1:19" x14ac:dyDescent="0.2">
      <c r="A46" s="21">
        <v>135</v>
      </c>
      <c r="B46" s="45" t="s">
        <v>568</v>
      </c>
      <c r="C46" s="35">
        <f t="shared" si="2"/>
        <v>42748</v>
      </c>
      <c r="D46" s="36">
        <v>2017</v>
      </c>
      <c r="E46" s="36">
        <v>13</v>
      </c>
      <c r="F46" s="37">
        <v>0.15763888888888899</v>
      </c>
      <c r="G46" s="178">
        <v>6.25E-2</v>
      </c>
      <c r="H46" s="35">
        <f t="shared" si="3"/>
        <v>42748</v>
      </c>
      <c r="I46" s="36">
        <v>2017</v>
      </c>
      <c r="J46" s="36">
        <v>13</v>
      </c>
      <c r="K46" s="37">
        <v>0.22013888888888899</v>
      </c>
      <c r="L46" s="41">
        <v>4000</v>
      </c>
      <c r="M46" s="42">
        <v>21.6</v>
      </c>
      <c r="N46" s="179" t="s">
        <v>370</v>
      </c>
      <c r="O46" s="180" t="s">
        <v>363</v>
      </c>
      <c r="P46" s="181" t="s">
        <v>363</v>
      </c>
      <c r="Q46" s="182"/>
      <c r="R46" s="209">
        <f>VLOOKUP($B46,'CIRS Table IDs'!$B:$P,14,FALSE)</f>
        <v>341</v>
      </c>
    </row>
    <row r="47" spans="1:19" x14ac:dyDescent="0.2">
      <c r="A47" s="21">
        <v>169</v>
      </c>
      <c r="B47" s="45" t="s">
        <v>605</v>
      </c>
      <c r="C47" s="35">
        <f t="shared" si="2"/>
        <v>42764</v>
      </c>
      <c r="D47" s="36">
        <v>2017</v>
      </c>
      <c r="E47" s="36">
        <v>29</v>
      </c>
      <c r="F47" s="37">
        <v>8.8888888888888906E-2</v>
      </c>
      <c r="G47" s="178">
        <v>6.25E-2</v>
      </c>
      <c r="H47" s="35">
        <f t="shared" si="3"/>
        <v>42764</v>
      </c>
      <c r="I47" s="36">
        <v>2017</v>
      </c>
      <c r="J47" s="36">
        <v>29</v>
      </c>
      <c r="K47" s="37">
        <v>0.15138888888888899</v>
      </c>
      <c r="L47" s="41">
        <v>4000</v>
      </c>
      <c r="M47" s="42">
        <v>21.6</v>
      </c>
      <c r="N47" s="179" t="s">
        <v>370</v>
      </c>
      <c r="O47" s="180" t="s">
        <v>363</v>
      </c>
      <c r="P47" s="181" t="s">
        <v>363</v>
      </c>
      <c r="Q47" s="182"/>
      <c r="R47" s="209">
        <f>VLOOKUP($B47,'CIRS Table IDs'!$B:$P,14,FALSE)</f>
        <v>341</v>
      </c>
    </row>
    <row r="48" spans="1:19" s="64" customFormat="1" x14ac:dyDescent="0.2">
      <c r="A48" s="21">
        <v>181</v>
      </c>
      <c r="B48" s="45" t="s">
        <v>621</v>
      </c>
      <c r="C48" s="35">
        <f t="shared" si="2"/>
        <v>42767</v>
      </c>
      <c r="D48" s="36">
        <v>2017</v>
      </c>
      <c r="E48" s="36">
        <v>32</v>
      </c>
      <c r="F48" s="37">
        <v>0.34652777777777799</v>
      </c>
      <c r="G48" s="178">
        <v>4.1666666666666699E-2</v>
      </c>
      <c r="H48" s="35">
        <f t="shared" si="3"/>
        <v>42767</v>
      </c>
      <c r="I48" s="36">
        <v>2017</v>
      </c>
      <c r="J48" s="36">
        <v>32</v>
      </c>
      <c r="K48" s="37">
        <v>0.38819444444444401</v>
      </c>
      <c r="L48" s="41">
        <v>4000</v>
      </c>
      <c r="M48" s="42">
        <v>14.4</v>
      </c>
      <c r="N48" s="179" t="s">
        <v>370</v>
      </c>
      <c r="O48" s="180" t="s">
        <v>363</v>
      </c>
      <c r="P48" s="181" t="s">
        <v>363</v>
      </c>
      <c r="Q48" s="509"/>
      <c r="R48" s="209">
        <f>VLOOKUP($B48,'CIRS Table IDs'!$B:$P,14,FALSE)</f>
        <v>491</v>
      </c>
      <c r="S48" s="270"/>
    </row>
    <row r="49" spans="1:19" x14ac:dyDescent="0.2">
      <c r="A49" s="21">
        <v>182</v>
      </c>
      <c r="B49" s="45" t="s">
        <v>622</v>
      </c>
      <c r="C49" s="35">
        <f t="shared" si="2"/>
        <v>42767</v>
      </c>
      <c r="D49" s="36">
        <v>2017</v>
      </c>
      <c r="E49" s="36">
        <v>32</v>
      </c>
      <c r="F49" s="37">
        <v>0.38819444444444401</v>
      </c>
      <c r="G49" s="178">
        <v>0.15763888888888899</v>
      </c>
      <c r="H49" s="35">
        <f t="shared" si="3"/>
        <v>42767</v>
      </c>
      <c r="I49" s="36">
        <v>2017</v>
      </c>
      <c r="J49" s="36">
        <v>32</v>
      </c>
      <c r="K49" s="37">
        <v>0.54583333333333295</v>
      </c>
      <c r="L49" s="41">
        <v>3600</v>
      </c>
      <c r="M49" s="42">
        <v>49.031999999999996</v>
      </c>
      <c r="N49" s="179" t="s">
        <v>366</v>
      </c>
      <c r="O49" s="183" t="s">
        <v>405</v>
      </c>
      <c r="P49" s="184" t="s">
        <v>399</v>
      </c>
      <c r="Q49" s="210" t="s">
        <v>440</v>
      </c>
      <c r="R49" s="209">
        <f>VLOOKUP($B49,'CIRS Table IDs'!$B:$P,14,FALSE)</f>
        <v>467</v>
      </c>
    </row>
    <row r="50" spans="1:19" x14ac:dyDescent="0.2">
      <c r="A50" s="21">
        <v>183</v>
      </c>
      <c r="B50" s="45" t="s">
        <v>623</v>
      </c>
      <c r="C50" s="35">
        <f t="shared" si="2"/>
        <v>42767</v>
      </c>
      <c r="D50" s="36">
        <v>2017</v>
      </c>
      <c r="E50" s="36">
        <v>32</v>
      </c>
      <c r="F50" s="37">
        <v>0.54583333333333295</v>
      </c>
      <c r="G50" s="178">
        <v>4.1666666666666699E-2</v>
      </c>
      <c r="H50" s="35">
        <f t="shared" si="3"/>
        <v>42767</v>
      </c>
      <c r="I50" s="36">
        <v>2017</v>
      </c>
      <c r="J50" s="36">
        <v>32</v>
      </c>
      <c r="K50" s="37">
        <v>0.58750000000000002</v>
      </c>
      <c r="L50" s="41">
        <v>4000</v>
      </c>
      <c r="M50" s="42">
        <v>14.4</v>
      </c>
      <c r="N50" s="179" t="s">
        <v>370</v>
      </c>
      <c r="O50" s="183"/>
      <c r="P50" s="184"/>
      <c r="Q50" s="182"/>
      <c r="R50" s="209">
        <f>VLOOKUP($B50,'CIRS Table IDs'!$B:$P,14,FALSE)</f>
        <v>491</v>
      </c>
    </row>
    <row r="51" spans="1:19" x14ac:dyDescent="0.2">
      <c r="A51" s="21">
        <v>184</v>
      </c>
      <c r="B51" s="45" t="s">
        <v>624</v>
      </c>
      <c r="C51" s="35">
        <f t="shared" si="2"/>
        <v>42767</v>
      </c>
      <c r="D51" s="36">
        <v>2017</v>
      </c>
      <c r="E51" s="36">
        <v>32</v>
      </c>
      <c r="F51" s="37">
        <v>0.58750000000000002</v>
      </c>
      <c r="G51" s="178">
        <v>0.21875</v>
      </c>
      <c r="H51" s="35">
        <f t="shared" si="3"/>
        <v>42767</v>
      </c>
      <c r="I51" s="36">
        <v>2017</v>
      </c>
      <c r="J51" s="36">
        <v>32</v>
      </c>
      <c r="K51" s="37">
        <v>0.80625000000000002</v>
      </c>
      <c r="L51" s="41">
        <v>4000</v>
      </c>
      <c r="M51" s="42">
        <v>75.599999999999994</v>
      </c>
      <c r="N51" s="179" t="s">
        <v>366</v>
      </c>
      <c r="O51" s="183" t="s">
        <v>405</v>
      </c>
      <c r="P51" s="184" t="s">
        <v>625</v>
      </c>
      <c r="Q51" s="182" t="s">
        <v>626</v>
      </c>
      <c r="R51" s="209">
        <f>VLOOKUP($B51,'CIRS Table IDs'!$B:$P,14,FALSE)</f>
        <v>591</v>
      </c>
    </row>
    <row r="52" spans="1:19" x14ac:dyDescent="0.2">
      <c r="A52" s="21">
        <v>185</v>
      </c>
      <c r="B52" s="45" t="s">
        <v>627</v>
      </c>
      <c r="C52" s="35">
        <f t="shared" si="2"/>
        <v>42767</v>
      </c>
      <c r="D52" s="36">
        <v>2017</v>
      </c>
      <c r="E52" s="36">
        <v>32</v>
      </c>
      <c r="F52" s="37">
        <v>0.80625000000000002</v>
      </c>
      <c r="G52" s="178">
        <v>4.1666666666666699E-2</v>
      </c>
      <c r="H52" s="35">
        <f t="shared" si="3"/>
        <v>42767</v>
      </c>
      <c r="I52" s="36">
        <v>2017</v>
      </c>
      <c r="J52" s="36">
        <v>32</v>
      </c>
      <c r="K52" s="37">
        <v>0.84791666666666698</v>
      </c>
      <c r="L52" s="41">
        <v>4000</v>
      </c>
      <c r="M52" s="42">
        <v>14.4</v>
      </c>
      <c r="N52" s="179" t="s">
        <v>370</v>
      </c>
      <c r="O52" s="183"/>
      <c r="P52" s="184"/>
      <c r="Q52" s="182"/>
      <c r="R52" s="209">
        <f>VLOOKUP($B52,'CIRS Table IDs'!$B:$P,14,FALSE)</f>
        <v>491</v>
      </c>
    </row>
    <row r="53" spans="1:19" x14ac:dyDescent="0.2">
      <c r="A53" s="21">
        <v>186</v>
      </c>
      <c r="B53" s="45" t="s">
        <v>628</v>
      </c>
      <c r="C53" s="35">
        <f t="shared" si="2"/>
        <v>42767</v>
      </c>
      <c r="D53" s="36">
        <v>2017</v>
      </c>
      <c r="E53" s="36">
        <v>32</v>
      </c>
      <c r="F53" s="37">
        <v>0.84791666666666698</v>
      </c>
      <c r="G53" s="178">
        <v>0.21875</v>
      </c>
      <c r="H53" s="35">
        <f t="shared" si="3"/>
        <v>42768</v>
      </c>
      <c r="I53" s="36">
        <v>2017</v>
      </c>
      <c r="J53" s="36">
        <v>33</v>
      </c>
      <c r="K53" s="37">
        <v>6.6666666666666693E-2</v>
      </c>
      <c r="L53" s="41">
        <v>3600</v>
      </c>
      <c r="M53" s="42">
        <v>68.040000000000006</v>
      </c>
      <c r="N53" s="179" t="s">
        <v>366</v>
      </c>
      <c r="O53" s="183" t="s">
        <v>405</v>
      </c>
      <c r="P53" s="184" t="s">
        <v>399</v>
      </c>
      <c r="Q53" s="507"/>
      <c r="R53" s="209">
        <f>VLOOKUP($B53,'CIRS Table IDs'!$B:$P,14,FALSE)</f>
        <v>505</v>
      </c>
    </row>
    <row r="54" spans="1:19" x14ac:dyDescent="0.2">
      <c r="A54" s="21">
        <v>187</v>
      </c>
      <c r="B54" s="45" t="s">
        <v>629</v>
      </c>
      <c r="C54" s="35">
        <f t="shared" si="2"/>
        <v>42768</v>
      </c>
      <c r="D54" s="36">
        <v>2017</v>
      </c>
      <c r="E54" s="36">
        <v>33</v>
      </c>
      <c r="F54" s="37">
        <v>6.6666666666666693E-2</v>
      </c>
      <c r="G54" s="178">
        <v>4.1666666666666699E-2</v>
      </c>
      <c r="H54" s="35">
        <f t="shared" si="3"/>
        <v>42768</v>
      </c>
      <c r="I54" s="36">
        <v>2017</v>
      </c>
      <c r="J54" s="36">
        <v>33</v>
      </c>
      <c r="K54" s="37">
        <v>0.108333333333333</v>
      </c>
      <c r="L54" s="41">
        <v>4000</v>
      </c>
      <c r="M54" s="42">
        <v>14.4</v>
      </c>
      <c r="N54" s="179" t="s">
        <v>370</v>
      </c>
      <c r="O54" s="183"/>
      <c r="P54" s="184"/>
      <c r="Q54" s="508"/>
      <c r="R54" s="209">
        <f>VLOOKUP($B54,'CIRS Table IDs'!$B:$P,14,FALSE)</f>
        <v>491</v>
      </c>
    </row>
    <row r="55" spans="1:19" x14ac:dyDescent="0.2">
      <c r="A55" s="21">
        <v>188</v>
      </c>
      <c r="B55" s="45" t="s">
        <v>630</v>
      </c>
      <c r="C55" s="35">
        <f t="shared" si="2"/>
        <v>42768</v>
      </c>
      <c r="D55" s="36">
        <v>2017</v>
      </c>
      <c r="E55" s="36">
        <v>33</v>
      </c>
      <c r="F55" s="37">
        <v>0.108333333333333</v>
      </c>
      <c r="G55" s="178">
        <v>0.29166666666666702</v>
      </c>
      <c r="H55" s="35">
        <f t="shared" si="3"/>
        <v>42768</v>
      </c>
      <c r="I55" s="36">
        <v>2017</v>
      </c>
      <c r="J55" s="36">
        <v>33</v>
      </c>
      <c r="K55" s="37">
        <v>0.4</v>
      </c>
      <c r="L55" s="41">
        <v>3600</v>
      </c>
      <c r="M55" s="42">
        <v>90.72</v>
      </c>
      <c r="N55" s="179" t="s">
        <v>366</v>
      </c>
      <c r="O55" s="183" t="s">
        <v>405</v>
      </c>
      <c r="P55" s="184" t="s">
        <v>399</v>
      </c>
      <c r="Q55" s="508" t="s">
        <v>440</v>
      </c>
      <c r="R55" s="209">
        <f>VLOOKUP($B55,'CIRS Table IDs'!$B:$P,14,FALSE)</f>
        <v>467</v>
      </c>
    </row>
    <row r="56" spans="1:19" x14ac:dyDescent="0.2">
      <c r="A56" s="21">
        <v>189</v>
      </c>
      <c r="B56" s="45" t="s">
        <v>631</v>
      </c>
      <c r="C56" s="35">
        <f t="shared" si="2"/>
        <v>42768</v>
      </c>
      <c r="D56" s="36">
        <v>2017</v>
      </c>
      <c r="E56" s="36">
        <v>33</v>
      </c>
      <c r="F56" s="37">
        <v>0.4</v>
      </c>
      <c r="G56" s="178">
        <v>0.23958333333333301</v>
      </c>
      <c r="H56" s="35">
        <f t="shared" si="3"/>
        <v>42768</v>
      </c>
      <c r="I56" s="36">
        <v>2017</v>
      </c>
      <c r="J56" s="36">
        <v>33</v>
      </c>
      <c r="K56" s="37">
        <v>0.63958333333333295</v>
      </c>
      <c r="L56" s="41">
        <v>3600</v>
      </c>
      <c r="M56" s="42">
        <v>74.52</v>
      </c>
      <c r="N56" s="179" t="s">
        <v>366</v>
      </c>
      <c r="O56" s="180" t="s">
        <v>405</v>
      </c>
      <c r="P56" s="181" t="s">
        <v>625</v>
      </c>
      <c r="Q56" s="509" t="s">
        <v>632</v>
      </c>
      <c r="R56" s="209">
        <f>VLOOKUP($B56,'CIRS Table IDs'!$B:$P,14,FALSE)</f>
        <v>591</v>
      </c>
      <c r="S56" s="270"/>
    </row>
    <row r="57" spans="1:19" ht="15.75" thickBot="1" x14ac:dyDescent="0.25">
      <c r="A57" s="21">
        <v>190</v>
      </c>
      <c r="B57" s="45" t="s">
        <v>633</v>
      </c>
      <c r="C57" s="35">
        <f t="shared" si="2"/>
        <v>42768</v>
      </c>
      <c r="D57" s="36">
        <v>2017</v>
      </c>
      <c r="E57" s="36">
        <v>33</v>
      </c>
      <c r="F57" s="37">
        <v>0.63958333333333295</v>
      </c>
      <c r="G57" s="178">
        <v>4.1666666666666699E-2</v>
      </c>
      <c r="H57" s="35">
        <f t="shared" si="3"/>
        <v>42768</v>
      </c>
      <c r="I57" s="36">
        <v>2017</v>
      </c>
      <c r="J57" s="36">
        <v>33</v>
      </c>
      <c r="K57" s="37">
        <v>0.68125000000000002</v>
      </c>
      <c r="L57" s="41">
        <v>3600</v>
      </c>
      <c r="M57" s="42">
        <v>12.96</v>
      </c>
      <c r="N57" s="179" t="s">
        <v>370</v>
      </c>
      <c r="O57" s="183"/>
      <c r="P57" s="184"/>
      <c r="Q57" s="182"/>
      <c r="R57" s="209">
        <f>VLOOKUP($B57,'CIRS Table IDs'!$B:$P,14,FALSE)</f>
        <v>491</v>
      </c>
    </row>
    <row r="58" spans="1:19" ht="15.75" thickBot="1" x14ac:dyDescent="0.25">
      <c r="A58" s="70"/>
      <c r="B58" s="50" t="s">
        <v>362</v>
      </c>
      <c r="C58" s="51">
        <f t="shared" si="2"/>
        <v>42769</v>
      </c>
      <c r="D58" s="52">
        <v>2017</v>
      </c>
      <c r="E58" s="52">
        <v>34</v>
      </c>
      <c r="F58" s="53">
        <v>0.2951388888888889</v>
      </c>
      <c r="G58" s="271"/>
      <c r="H58" s="271"/>
      <c r="I58" s="117"/>
      <c r="J58" s="117"/>
      <c r="K58" s="271"/>
      <c r="L58" s="117"/>
      <c r="M58" s="117"/>
      <c r="N58" s="117"/>
      <c r="O58" s="272"/>
      <c r="P58" s="272"/>
      <c r="Q58" s="272"/>
      <c r="R58" s="117"/>
    </row>
    <row r="59" spans="1:19" x14ac:dyDescent="0.2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</row>
    <row r="60" spans="1:19" x14ac:dyDescent="0.2">
      <c r="A60" s="70">
        <f>COUNTA(A8:A58)</f>
        <v>49</v>
      </c>
      <c r="B60" s="70" t="s">
        <v>259</v>
      </c>
      <c r="C60" s="70"/>
      <c r="D60" s="70"/>
      <c r="E60" s="84" t="s">
        <v>246</v>
      </c>
      <c r="F60" s="70">
        <f>DAY(G60)</f>
        <v>5</v>
      </c>
      <c r="G60" s="123">
        <f>SUM(G9:G57)</f>
        <v>5.5700000000000012</v>
      </c>
      <c r="H60" s="123"/>
      <c r="I60" s="70"/>
      <c r="J60" s="70"/>
      <c r="K60" s="70"/>
      <c r="L60" s="84" t="s">
        <v>217</v>
      </c>
      <c r="M60" s="127">
        <f>SUM(M9:M57)</f>
        <v>1614.1510000000001</v>
      </c>
      <c r="N60" s="70" t="s">
        <v>35</v>
      </c>
      <c r="O60" s="70"/>
      <c r="P60" s="127"/>
      <c r="Q60" s="127"/>
      <c r="R60" s="127"/>
    </row>
    <row r="61" spans="1:19" x14ac:dyDescent="0.2">
      <c r="A61" s="70"/>
      <c r="B61" s="70"/>
      <c r="C61" s="70"/>
      <c r="D61" s="70"/>
      <c r="E61" s="70"/>
      <c r="F61" s="84"/>
      <c r="G61" s="123"/>
      <c r="H61" s="123"/>
      <c r="I61" s="70"/>
      <c r="J61" s="70"/>
      <c r="K61" s="70"/>
      <c r="L61" s="84"/>
      <c r="M61" s="127"/>
      <c r="N61" s="70"/>
      <c r="O61" s="70"/>
      <c r="P61" s="70"/>
      <c r="Q61" s="70"/>
      <c r="R61" s="127"/>
    </row>
    <row r="62" spans="1:19" x14ac:dyDescent="0.2">
      <c r="A62" s="70"/>
      <c r="B62" s="70"/>
      <c r="C62" s="70"/>
      <c r="D62" s="70"/>
      <c r="E62" s="84" t="s">
        <v>260</v>
      </c>
      <c r="F62" s="70">
        <f>DAY(G62)</f>
        <v>5</v>
      </c>
      <c r="G62" s="123">
        <f>G60</f>
        <v>5.5700000000000012</v>
      </c>
      <c r="H62" s="273"/>
      <c r="I62" s="70"/>
      <c r="J62" s="70"/>
      <c r="K62" s="70"/>
      <c r="L62" s="70"/>
      <c r="M62" s="70"/>
      <c r="N62" s="127"/>
      <c r="O62" s="70"/>
      <c r="P62" s="70"/>
      <c r="Q62" s="70"/>
      <c r="R62" s="127"/>
    </row>
    <row r="63" spans="1:19" ht="15.75" thickBot="1" x14ac:dyDescent="0.2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127"/>
    </row>
    <row r="64" spans="1:19" ht="21.6" customHeight="1" x14ac:dyDescent="0.2">
      <c r="A64" s="70"/>
      <c r="B64" s="587" t="s">
        <v>17</v>
      </c>
      <c r="C64" s="587" t="s">
        <v>227</v>
      </c>
      <c r="D64" s="593" t="s">
        <v>248</v>
      </c>
      <c r="E64" s="604"/>
      <c r="F64" s="594"/>
      <c r="G64" s="589" t="s">
        <v>228</v>
      </c>
      <c r="H64" s="593" t="s">
        <v>249</v>
      </c>
      <c r="I64" s="594"/>
      <c r="J64" s="587" t="s">
        <v>19</v>
      </c>
      <c r="K64" s="587" t="s">
        <v>250</v>
      </c>
      <c r="L64" s="614" t="s">
        <v>312</v>
      </c>
      <c r="M64" s="608" t="s">
        <v>313</v>
      </c>
      <c r="N64" s="624" t="s">
        <v>213</v>
      </c>
      <c r="O64" s="629" t="s">
        <v>211</v>
      </c>
      <c r="P64" s="629" t="s">
        <v>261</v>
      </c>
      <c r="Q64" s="629" t="s">
        <v>315</v>
      </c>
      <c r="R64" s="603" t="s">
        <v>316</v>
      </c>
    </row>
    <row r="65" spans="1:19" ht="21.6" customHeight="1" thickBot="1" x14ac:dyDescent="0.25">
      <c r="A65" s="70"/>
      <c r="B65" s="588"/>
      <c r="C65" s="588"/>
      <c r="D65" s="86" t="s">
        <v>11</v>
      </c>
      <c r="E65" s="88" t="s">
        <v>12</v>
      </c>
      <c r="F65" s="89" t="s">
        <v>13</v>
      </c>
      <c r="G65" s="590"/>
      <c r="H65" s="86" t="s">
        <v>12</v>
      </c>
      <c r="I65" s="89" t="s">
        <v>13</v>
      </c>
      <c r="J65" s="588"/>
      <c r="K65" s="588"/>
      <c r="L65" s="627"/>
      <c r="M65" s="626"/>
      <c r="N65" s="625"/>
      <c r="O65" s="630"/>
      <c r="P65" s="630"/>
      <c r="Q65" s="630"/>
      <c r="R65" s="603"/>
    </row>
    <row r="66" spans="1:19" s="64" customFormat="1" x14ac:dyDescent="0.2">
      <c r="A66" s="83"/>
      <c r="B66" s="91"/>
      <c r="C66" s="91"/>
      <c r="D66" s="416"/>
      <c r="E66" s="417"/>
      <c r="F66" s="418"/>
      <c r="G66" s="405"/>
      <c r="H66" s="416"/>
      <c r="I66" s="418"/>
      <c r="J66" s="405"/>
      <c r="K66" s="405"/>
      <c r="L66" s="466"/>
      <c r="M66" s="467"/>
      <c r="N66" s="454"/>
      <c r="O66" s="274"/>
      <c r="P66" s="70"/>
      <c r="Q66" s="70"/>
      <c r="R66" s="14"/>
      <c r="S66" s="14"/>
    </row>
    <row r="67" spans="1:19" x14ac:dyDescent="0.2">
      <c r="A67" s="83">
        <f t="shared" ref="A67:B86" si="4">A9</f>
        <v>14</v>
      </c>
      <c r="B67" s="275" t="str">
        <f t="shared" si="4"/>
        <v>CIRS_250TI_GLOBMAP001_VIMS</v>
      </c>
      <c r="C67" s="276" t="str">
        <f t="shared" ref="C67:C98" si="5">IF(L9=1900,"Co-add",IF(L9=3600,"No Co-add",L9))</f>
        <v>Co-add</v>
      </c>
      <c r="D67" s="412" t="str">
        <f>IF($K67&lt;192,"",IF($K67&gt;597,"",IF(VLOOKUP($K67,'CIRS Table Info'!$B$6:$J$425,4,FALSE)="Data",VLOOKUP($K67,'CIRS Table Info'!$B$6:$J$425,3,FALSE),"")))</f>
        <v>Co-add</v>
      </c>
      <c r="E67" s="413" t="str">
        <f>IF($K67&lt;192,"",IF($K67&gt;597,"",IF(VLOOKUP($K67,'CIRS Table Info'!$B$6:$J$425,5,FALSE)="Data",VLOOKUP($K67,'CIRS Table Info'!$B$6:$J$425,3,FALSE),"")))</f>
        <v>Co-add</v>
      </c>
      <c r="F67" s="414" t="str">
        <f>IF($K67&lt;192,"",IF($K67&gt;597,"",IF(VLOOKUP($K67,'CIRS Table Info'!$B$6:$J$425,7,FALSE)="Data",VLOOKUP($K67,'CIRS Table Info'!$B$6:$J$425,3,FALSE),"")))</f>
        <v>Co-add</v>
      </c>
      <c r="G67" s="367">
        <f>IF($K67&lt;192,"",IF($K67&gt;597,"",VLOOKUP($K67,'CIRS Table Info'!$B$6:$J$425,2,FALSE)))</f>
        <v>2.85</v>
      </c>
      <c r="H67" s="412" t="str">
        <f>IF($K67&lt;192,"",IF($K67&gt;597,"",VLOOKUP($K67,'CIRS Table Info'!$B$6:$J$425,6,FALSE)))</f>
        <v>Blink</v>
      </c>
      <c r="I67" s="414" t="str">
        <f>IF($K67&lt;192,"",IF($K67&gt;597,"",VLOOKUP($K67,'CIRS Table Info'!$B$6:$J$425,8,FALSE)))</f>
        <v>Blink</v>
      </c>
      <c r="J67" s="423">
        <f t="shared" ref="J67:J98" si="6">G9</f>
        <v>8.1481481481481502E-2</v>
      </c>
      <c r="K67" s="141">
        <f t="shared" ref="K67:K98" si="7">VALUE(LEFT(R9,3))</f>
        <v>473</v>
      </c>
      <c r="L67" s="468">
        <f>VLOOKUP($B67,'CIRS Table IDs'!$B:$P,15,FALSE)</f>
        <v>1</v>
      </c>
      <c r="M67" s="415">
        <f>IF($K67&lt;192,"",IF($K67&gt;597,"",VLOOKUP($K67,'CIRS Table Info'!$B$6:$K$425,10,FALSE)))</f>
        <v>3</v>
      </c>
      <c r="N67" s="456"/>
      <c r="O67" s="278"/>
      <c r="P67" s="83">
        <f t="shared" ref="P67:P98" si="8">IF(K67&lt;=597,1,0)</f>
        <v>1</v>
      </c>
      <c r="Q67" s="70" t="str">
        <f t="shared" ref="Q67:Q113" si="9">IF($R9&lt;200,"",IF($R9&gt;=300,"",IF(MOD(MOD($R9,25)-3,6)&lt;3,"Yes","")))</f>
        <v/>
      </c>
      <c r="R67" s="14">
        <f>IF(D67="No Co-add",360,IF(D67="Co-add",190,0)) + IF(E67="No Co-add",1620,IF(E67="Co-add",855,0)) + IF(F67="No Co-add",1620,IF(F67="Co-add",855,0))</f>
        <v>1900</v>
      </c>
    </row>
    <row r="68" spans="1:19" x14ac:dyDescent="0.2">
      <c r="A68" s="83">
        <f t="shared" si="4"/>
        <v>15</v>
      </c>
      <c r="B68" s="275" t="str">
        <f t="shared" si="4"/>
        <v>CIRS_250TI_GLOBMAP002_VIMS</v>
      </c>
      <c r="C68" s="276" t="str">
        <f t="shared" si="5"/>
        <v>Co-add</v>
      </c>
      <c r="D68" s="412" t="str">
        <f>IF($K68&lt;192,"",IF($K68&gt;597,"",IF(VLOOKUP($K68,'CIRS Table Info'!$B$6:$J$425,4,FALSE)="Data",VLOOKUP($K68,'CIRS Table Info'!$B$6:$J$425,3,FALSE),"")))</f>
        <v>Co-add</v>
      </c>
      <c r="E68" s="413" t="str">
        <f>IF($K68&lt;192,"",IF($K68&gt;597,"",IF(VLOOKUP($K68,'CIRS Table Info'!$B$6:$J$425,5,FALSE)="Data",VLOOKUP($K68,'CIRS Table Info'!$B$6:$J$425,3,FALSE),"")))</f>
        <v>Co-add</v>
      </c>
      <c r="F68" s="414" t="str">
        <f>IF($K68&lt;192,"",IF($K68&gt;597,"",IF(VLOOKUP($K68,'CIRS Table Info'!$B$6:$J$425,7,FALSE)="Data",VLOOKUP($K68,'CIRS Table Info'!$B$6:$J$425,3,FALSE),"")))</f>
        <v>Co-add</v>
      </c>
      <c r="G68" s="367">
        <f>IF($K68&lt;192,"",IF($K68&gt;597,"",VLOOKUP($K68,'CIRS Table Info'!$B$6:$J$425,2,FALSE)))</f>
        <v>2.85</v>
      </c>
      <c r="H68" s="412" t="str">
        <f>IF($K68&lt;192,"",IF($K68&gt;597,"",VLOOKUP($K68,'CIRS Table Info'!$B$6:$J$425,6,FALSE)))</f>
        <v>Blink</v>
      </c>
      <c r="I68" s="414" t="str">
        <f>IF($K68&lt;192,"",IF($K68&gt;597,"",VLOOKUP($K68,'CIRS Table Info'!$B$6:$J$425,8,FALSE)))</f>
        <v>Blink</v>
      </c>
      <c r="J68" s="423">
        <f t="shared" si="6"/>
        <v>0.20833333333333301</v>
      </c>
      <c r="K68" s="141">
        <f t="shared" si="7"/>
        <v>473</v>
      </c>
      <c r="L68" s="468">
        <f>VLOOKUP($B68,'CIRS Table IDs'!$B:$P,15,FALSE)</f>
        <v>1</v>
      </c>
      <c r="M68" s="415">
        <f>IF($K68&lt;192,"",IF($K68&gt;597,"",VLOOKUP($K68,'CIRS Table Info'!$B$6:$K$425,10,FALSE)))</f>
        <v>3</v>
      </c>
      <c r="N68" s="456"/>
      <c r="O68" s="278"/>
      <c r="P68" s="83">
        <f t="shared" si="8"/>
        <v>1</v>
      </c>
      <c r="Q68" s="70" t="str">
        <f t="shared" si="9"/>
        <v/>
      </c>
      <c r="R68" s="14">
        <f t="shared" ref="R68:R115" si="10">IF(D68="No Co-add",360,IF(D68="Co-add",190,0)) + IF(E68="No Co-add",1620,IF(E68="Co-add",855,0)) + IF(F68="No Co-add",1620,IF(F68="Co-add",855,0))</f>
        <v>1900</v>
      </c>
    </row>
    <row r="69" spans="1:19" x14ac:dyDescent="0.2">
      <c r="A69" s="83">
        <f t="shared" si="4"/>
        <v>16</v>
      </c>
      <c r="B69" s="275" t="str">
        <f t="shared" si="4"/>
        <v>CIRS_250TI_MEDRES001_VIMS</v>
      </c>
      <c r="C69" s="276" t="str">
        <f t="shared" si="5"/>
        <v>Co-add</v>
      </c>
      <c r="D69" s="412" t="str">
        <f>IF($K69&lt;192,"",IF($K69&gt;597,"",IF(VLOOKUP($K69,'CIRS Table Info'!$B$6:$J$425,4,FALSE)="Data",VLOOKUP($K69,'CIRS Table Info'!$B$6:$J$425,3,FALSE),"")))</f>
        <v>Co-add</v>
      </c>
      <c r="E69" s="413" t="str">
        <f>IF($K69&lt;192,"",IF($K69&gt;597,"",IF(VLOOKUP($K69,'CIRS Table Info'!$B$6:$J$425,5,FALSE)="Data",VLOOKUP($K69,'CIRS Table Info'!$B$6:$J$425,3,FALSE),"")))</f>
        <v>Co-add</v>
      </c>
      <c r="F69" s="414" t="str">
        <f>IF($K69&lt;192,"",IF($K69&gt;597,"",IF(VLOOKUP($K69,'CIRS Table Info'!$B$6:$J$425,7,FALSE)="Data",VLOOKUP($K69,'CIRS Table Info'!$B$6:$J$425,3,FALSE),"")))</f>
        <v>Co-add</v>
      </c>
      <c r="G69" s="367">
        <f>IF($K69&lt;192,"",IF($K69&gt;597,"",VLOOKUP($K69,'CIRS Table Info'!$B$6:$J$425,2,FALSE)))</f>
        <v>2.85</v>
      </c>
      <c r="H69" s="412" t="str">
        <f>IF($K69&lt;192,"",IF($K69&gt;597,"",VLOOKUP($K69,'CIRS Table Info'!$B$6:$J$425,6,FALSE)))</f>
        <v>Blink</v>
      </c>
      <c r="I69" s="414" t="str">
        <f>IF($K69&lt;192,"",IF($K69&gt;597,"",VLOOKUP($K69,'CIRS Table Info'!$B$6:$J$425,8,FALSE)))</f>
        <v>Blink</v>
      </c>
      <c r="J69" s="423">
        <f t="shared" si="6"/>
        <v>0.16666666666666699</v>
      </c>
      <c r="K69" s="141">
        <f t="shared" si="7"/>
        <v>473</v>
      </c>
      <c r="L69" s="468">
        <f>VLOOKUP($B69,'CIRS Table IDs'!$B:$P,15,FALSE)</f>
        <v>1</v>
      </c>
      <c r="M69" s="415">
        <f>IF($K69&lt;192,"",IF($K69&gt;597,"",VLOOKUP($K69,'CIRS Table Info'!$B$6:$K$425,10,FALSE)))</f>
        <v>3</v>
      </c>
      <c r="N69" s="456"/>
      <c r="O69" s="278"/>
      <c r="P69" s="83">
        <f t="shared" si="8"/>
        <v>1</v>
      </c>
      <c r="Q69" s="70" t="str">
        <f t="shared" si="9"/>
        <v/>
      </c>
      <c r="R69" s="14">
        <f t="shared" si="10"/>
        <v>1900</v>
      </c>
    </row>
    <row r="70" spans="1:19" x14ac:dyDescent="0.2">
      <c r="A70" s="83">
        <f t="shared" si="4"/>
        <v>17</v>
      </c>
      <c r="B70" s="275" t="str">
        <f t="shared" si="4"/>
        <v>CIRS_250TI_REGMAP001_VIMS</v>
      </c>
      <c r="C70" s="276" t="str">
        <f t="shared" si="5"/>
        <v>Co-add</v>
      </c>
      <c r="D70" s="412" t="str">
        <f>IF($K70&lt;192,"",IF($K70&gt;597,"",IF(VLOOKUP($K70,'CIRS Table Info'!$B$6:$J$425,4,FALSE)="Data",VLOOKUP($K70,'CIRS Table Info'!$B$6:$J$425,3,FALSE),"")))</f>
        <v>Co-add</v>
      </c>
      <c r="E70" s="413" t="str">
        <f>IF($K70&lt;192,"",IF($K70&gt;597,"",IF(VLOOKUP($K70,'CIRS Table Info'!$B$6:$J$425,5,FALSE)="Data",VLOOKUP($K70,'CIRS Table Info'!$B$6:$J$425,3,FALSE),"")))</f>
        <v>Co-add</v>
      </c>
      <c r="F70" s="414" t="str">
        <f>IF($K70&lt;192,"",IF($K70&gt;597,"",IF(VLOOKUP($K70,'CIRS Table Info'!$B$6:$J$425,7,FALSE)="Data",VLOOKUP($K70,'CIRS Table Info'!$B$6:$J$425,3,FALSE),"")))</f>
        <v>Co-add</v>
      </c>
      <c r="G70" s="367">
        <f>IF($K70&lt;192,"",IF($K70&gt;597,"",VLOOKUP($K70,'CIRS Table Info'!$B$6:$J$425,2,FALSE)))</f>
        <v>2.85</v>
      </c>
      <c r="H70" s="412" t="str">
        <f>IF($K70&lt;192,"",IF($K70&gt;597,"",VLOOKUP($K70,'CIRS Table Info'!$B$6:$J$425,6,FALSE)))</f>
        <v>Blink</v>
      </c>
      <c r="I70" s="414" t="str">
        <f>IF($K70&lt;192,"",IF($K70&gt;597,"",VLOOKUP($K70,'CIRS Table Info'!$B$6:$J$425,8,FALSE)))</f>
        <v>Blink</v>
      </c>
      <c r="J70" s="423">
        <f t="shared" si="6"/>
        <v>0.114583333333333</v>
      </c>
      <c r="K70" s="141">
        <f t="shared" si="7"/>
        <v>245</v>
      </c>
      <c r="L70" s="468">
        <f>VLOOKUP($B70,'CIRS Table IDs'!$B:$P,15,FALSE)</f>
        <v>1</v>
      </c>
      <c r="M70" s="415" t="str">
        <f>IF($K70&lt;192,"",IF($K70&gt;597,"",VLOOKUP($K70,'CIRS Table Info'!$B$6:$K$425,10,FALSE)))</f>
        <v>N\A</v>
      </c>
      <c r="N70" s="456"/>
      <c r="O70" s="278"/>
      <c r="P70" s="83">
        <f t="shared" si="8"/>
        <v>1</v>
      </c>
      <c r="Q70" s="70" t="str">
        <f t="shared" si="9"/>
        <v/>
      </c>
      <c r="R70" s="14">
        <f t="shared" si="10"/>
        <v>1900</v>
      </c>
    </row>
    <row r="71" spans="1:19" x14ac:dyDescent="0.2">
      <c r="A71" s="83">
        <f t="shared" si="4"/>
        <v>18</v>
      </c>
      <c r="B71" s="275" t="str">
        <f t="shared" si="4"/>
        <v>CIRS_250TI_REGMAP001_ISS</v>
      </c>
      <c r="C71" s="276" t="str">
        <f t="shared" si="5"/>
        <v>Co-add</v>
      </c>
      <c r="D71" s="412" t="str">
        <f>IF($K71&lt;192,"",IF($K71&gt;597,"",IF(VLOOKUP($K71,'CIRS Table Info'!$B$6:$J$425,4,FALSE)="Data",VLOOKUP($K71,'CIRS Table Info'!$B$6:$J$425,3,FALSE),"")))</f>
        <v>Co-add</v>
      </c>
      <c r="E71" s="413" t="str">
        <f>IF($K71&lt;192,"",IF($K71&gt;597,"",IF(VLOOKUP($K71,'CIRS Table Info'!$B$6:$J$425,5,FALSE)="Data",VLOOKUP($K71,'CIRS Table Info'!$B$6:$J$425,3,FALSE),"")))</f>
        <v>Co-add</v>
      </c>
      <c r="F71" s="414" t="str">
        <f>IF($K71&lt;192,"",IF($K71&gt;597,"",IF(VLOOKUP($K71,'CIRS Table Info'!$B$6:$J$425,7,FALSE)="Data",VLOOKUP($K71,'CIRS Table Info'!$B$6:$J$425,3,FALSE),"")))</f>
        <v>Co-add</v>
      </c>
      <c r="G71" s="367">
        <f>IF($K71&lt;192,"",IF($K71&gt;597,"",VLOOKUP($K71,'CIRS Table Info'!$B$6:$J$425,2,FALSE)))</f>
        <v>2.85</v>
      </c>
      <c r="H71" s="412" t="str">
        <f>IF($K71&lt;192,"",IF($K71&gt;597,"",VLOOKUP($K71,'CIRS Table Info'!$B$6:$J$425,6,FALSE)))</f>
        <v>Blink</v>
      </c>
      <c r="I71" s="414" t="str">
        <f>IF($K71&lt;192,"",IF($K71&gt;597,"",VLOOKUP($K71,'CIRS Table Info'!$B$6:$J$425,8,FALSE)))</f>
        <v>Blink</v>
      </c>
      <c r="J71" s="423">
        <f t="shared" si="6"/>
        <v>7.2916666666666699E-2</v>
      </c>
      <c r="K71" s="141">
        <f t="shared" si="7"/>
        <v>245</v>
      </c>
      <c r="L71" s="468">
        <f>VLOOKUP($B71,'CIRS Table IDs'!$B:$P,15,FALSE)</f>
        <v>1</v>
      </c>
      <c r="M71" s="415" t="str">
        <f>IF($K71&lt;192,"",IF($K71&gt;597,"",VLOOKUP($K71,'CIRS Table Info'!$B$6:$K$425,10,FALSE)))</f>
        <v>N\A</v>
      </c>
      <c r="N71" s="456"/>
      <c r="O71" s="278"/>
      <c r="P71" s="83">
        <f t="shared" si="8"/>
        <v>1</v>
      </c>
      <c r="Q71" s="70" t="str">
        <f t="shared" si="9"/>
        <v/>
      </c>
      <c r="R71" s="14">
        <f t="shared" si="10"/>
        <v>1900</v>
      </c>
    </row>
    <row r="72" spans="1:19" x14ac:dyDescent="0.2">
      <c r="A72" s="83">
        <f t="shared" si="4"/>
        <v>19</v>
      </c>
      <c r="B72" s="275" t="str">
        <f t="shared" si="4"/>
        <v>CIRS_250TI_HIRES001_VIMS</v>
      </c>
      <c r="C72" s="276" t="str">
        <f t="shared" si="5"/>
        <v>Co-add</v>
      </c>
      <c r="D72" s="412" t="str">
        <f>IF($K72&lt;192,"",IF($K72&gt;597,"",IF(VLOOKUP($K72,'CIRS Table Info'!$B$6:$J$425,4,FALSE)="Data",VLOOKUP($K72,'CIRS Table Info'!$B$6:$J$425,3,FALSE),"")))</f>
        <v>Co-add</v>
      </c>
      <c r="E72" s="413" t="str">
        <f>IF($K72&lt;192,"",IF($K72&gt;597,"",IF(VLOOKUP($K72,'CIRS Table Info'!$B$6:$J$425,5,FALSE)="Data",VLOOKUP($K72,'CIRS Table Info'!$B$6:$J$425,3,FALSE),"")))</f>
        <v>Co-add</v>
      </c>
      <c r="F72" s="414" t="str">
        <f>IF($K72&lt;192,"",IF($K72&gt;597,"",IF(VLOOKUP($K72,'CIRS Table Info'!$B$6:$J$425,7,FALSE)="Data",VLOOKUP($K72,'CIRS Table Info'!$B$6:$J$425,3,FALSE),"")))</f>
        <v>Co-add</v>
      </c>
      <c r="G72" s="367">
        <f>IF($K72&lt;192,"",IF($K72&gt;597,"",VLOOKUP($K72,'CIRS Table Info'!$B$6:$J$425,2,FALSE)))</f>
        <v>2.85</v>
      </c>
      <c r="H72" s="412" t="str">
        <f>IF($K72&lt;192,"",IF($K72&gt;597,"",VLOOKUP($K72,'CIRS Table Info'!$B$6:$J$425,6,FALSE)))</f>
        <v>Blink</v>
      </c>
      <c r="I72" s="414" t="str">
        <f>IF($K72&lt;192,"",IF($K72&gt;597,"",VLOOKUP($K72,'CIRS Table Info'!$B$6:$J$425,8,FALSE)))</f>
        <v>Blink</v>
      </c>
      <c r="J72" s="423">
        <f t="shared" si="6"/>
        <v>3.125E-2</v>
      </c>
      <c r="K72" s="141">
        <f t="shared" si="7"/>
        <v>245</v>
      </c>
      <c r="L72" s="468">
        <f>VLOOKUP($B72,'CIRS Table IDs'!$B:$P,15,FALSE)</f>
        <v>1</v>
      </c>
      <c r="M72" s="415" t="str">
        <f>IF($K72&lt;192,"",IF($K72&gt;597,"",VLOOKUP($K72,'CIRS Table Info'!$B$6:$K$425,10,FALSE)))</f>
        <v>N\A</v>
      </c>
      <c r="N72" s="456"/>
      <c r="O72" s="278"/>
      <c r="P72" s="83">
        <f t="shared" si="8"/>
        <v>1</v>
      </c>
      <c r="Q72" s="70" t="str">
        <f t="shared" si="9"/>
        <v/>
      </c>
      <c r="R72" s="14">
        <f t="shared" si="10"/>
        <v>1900</v>
      </c>
    </row>
    <row r="73" spans="1:19" x14ac:dyDescent="0.2">
      <c r="A73" s="83">
        <f t="shared" si="4"/>
        <v>20</v>
      </c>
      <c r="B73" s="275" t="str">
        <f t="shared" si="4"/>
        <v>CIRS_250TI_FIRLMBT002_PRIME</v>
      </c>
      <c r="C73" s="276">
        <f t="shared" si="5"/>
        <v>4000</v>
      </c>
      <c r="D73" s="412" t="str">
        <f>IF($K73&lt;192,"",IF($K73&gt;597,"",IF(VLOOKUP($K73,'CIRS Table Info'!$B$6:$J$425,4,FALSE)="Data",VLOOKUP($K73,'CIRS Table Info'!$B$6:$J$425,3,FALSE),"")))</f>
        <v>No Co-add</v>
      </c>
      <c r="E73" s="413" t="str">
        <f>IF($K73&lt;192,"",IF($K73&gt;597,"",IF(VLOOKUP($K73,'CIRS Table Info'!$B$6:$J$425,5,FALSE)="Data",VLOOKUP($K73,'CIRS Table Info'!$B$6:$J$425,3,FALSE),"")))</f>
        <v>No Co-add</v>
      </c>
      <c r="F73" s="414" t="str">
        <f>IF($K73&lt;192,"",IF($K73&gt;597,"",IF(VLOOKUP($K73,'CIRS Table Info'!$B$6:$J$425,7,FALSE)="Data",VLOOKUP($K73,'CIRS Table Info'!$B$6:$J$425,3,FALSE),"")))</f>
        <v>No Co-add</v>
      </c>
      <c r="G73" s="367">
        <f>IF($K73&lt;192,"",IF($K73&gt;597,"",VLOOKUP($K73,'CIRS Table Info'!$B$6:$J$425,2,FALSE)))</f>
        <v>15.67</v>
      </c>
      <c r="H73" s="412" t="str">
        <f>IF($K73&lt;192,"",IF($K73&gt;597,"",VLOOKUP($K73,'CIRS Table Info'!$B$6:$J$425,6,FALSE)))</f>
        <v>Blink</v>
      </c>
      <c r="I73" s="414" t="str">
        <f>IF($K73&lt;192,"",IF($K73&gt;597,"",VLOOKUP($K73,'CIRS Table Info'!$B$6:$J$425,8,FALSE)))</f>
        <v>Blink</v>
      </c>
      <c r="J73" s="423">
        <f t="shared" si="6"/>
        <v>2.0833333333333301E-2</v>
      </c>
      <c r="K73" s="141">
        <f t="shared" si="7"/>
        <v>208</v>
      </c>
      <c r="L73" s="468">
        <f>VLOOKUP($B73,'CIRS Table IDs'!$B:$P,15,FALSE)</f>
        <v>1</v>
      </c>
      <c r="M73" s="415" t="str">
        <f>IF($K73&lt;192,"",IF($K73&gt;597,"",VLOOKUP($K73,'CIRS Table Info'!$B$6:$K$425,10,FALSE)))</f>
        <v>N\A</v>
      </c>
      <c r="N73" s="456"/>
      <c r="O73" s="278"/>
      <c r="P73" s="83">
        <f t="shared" si="8"/>
        <v>1</v>
      </c>
      <c r="Q73" s="70" t="str">
        <f t="shared" si="9"/>
        <v/>
      </c>
      <c r="R73" s="14">
        <f t="shared" si="10"/>
        <v>3600</v>
      </c>
    </row>
    <row r="74" spans="1:19" x14ac:dyDescent="0.2">
      <c r="A74" s="83">
        <f t="shared" si="4"/>
        <v>21</v>
      </c>
      <c r="B74" s="275" t="str">
        <f t="shared" si="4"/>
        <v>CIRS_250TI_FIRLMBAER002_PRIME</v>
      </c>
      <c r="C74" s="276">
        <f t="shared" si="5"/>
        <v>4000</v>
      </c>
      <c r="D74" s="412" t="str">
        <f>IF($K74&lt;192,"",IF($K74&gt;597,"",IF(VLOOKUP($K74,'CIRS Table Info'!$B$6:$J$425,4,FALSE)="Data",VLOOKUP($K74,'CIRS Table Info'!$B$6:$J$425,3,FALSE),"")))</f>
        <v>No Co-add</v>
      </c>
      <c r="E74" s="413" t="str">
        <f>IF($K74&lt;192,"",IF($K74&gt;597,"",IF(VLOOKUP($K74,'CIRS Table Info'!$B$6:$J$425,5,FALSE)="Data",VLOOKUP($K74,'CIRS Table Info'!$B$6:$J$425,3,FALSE),"")))</f>
        <v>No Co-add</v>
      </c>
      <c r="F74" s="414" t="str">
        <f>IF($K74&lt;192,"",IF($K74&gt;597,"",IF(VLOOKUP($K74,'CIRS Table Info'!$B$6:$J$425,7,FALSE)="Data",VLOOKUP($K74,'CIRS Table Info'!$B$6:$J$425,3,FALSE),"")))</f>
        <v>No Co-add</v>
      </c>
      <c r="G74" s="367">
        <f>IF($K74&lt;192,"",IF($K74&gt;597,"",VLOOKUP($K74,'CIRS Table Info'!$B$6:$J$425,2,FALSE)))</f>
        <v>15.67</v>
      </c>
      <c r="H74" s="412" t="str">
        <f>IF($K74&lt;192,"",IF($K74&gt;597,"",VLOOKUP($K74,'CIRS Table Info'!$B$6:$J$425,6,FALSE)))</f>
        <v>Blink</v>
      </c>
      <c r="I74" s="414" t="str">
        <f>IF($K74&lt;192,"",IF($K74&gt;597,"",VLOOKUP($K74,'CIRS Table Info'!$B$6:$J$425,8,FALSE)))</f>
        <v>Blink</v>
      </c>
      <c r="J74" s="423">
        <f t="shared" si="6"/>
        <v>2.0833333333333301E-2</v>
      </c>
      <c r="K74" s="141">
        <f t="shared" si="7"/>
        <v>208</v>
      </c>
      <c r="L74" s="468">
        <f>VLOOKUP($B74,'CIRS Table IDs'!$B:$P,15,FALSE)</f>
        <v>1</v>
      </c>
      <c r="M74" s="415" t="str">
        <f>IF($K74&lt;192,"",IF($K74&gt;597,"",VLOOKUP($K74,'CIRS Table Info'!$B$6:$K$425,10,FALSE)))</f>
        <v>N\A</v>
      </c>
      <c r="N74" s="456"/>
      <c r="O74" s="278"/>
      <c r="P74" s="83">
        <f t="shared" si="8"/>
        <v>1</v>
      </c>
      <c r="Q74" s="70" t="str">
        <f t="shared" si="9"/>
        <v/>
      </c>
      <c r="R74" s="14">
        <f t="shared" si="10"/>
        <v>3600</v>
      </c>
    </row>
    <row r="75" spans="1:19" x14ac:dyDescent="0.2">
      <c r="A75" s="83">
        <f t="shared" si="4"/>
        <v>22</v>
      </c>
      <c r="B75" s="275" t="str">
        <f t="shared" si="4"/>
        <v>CIRS_250TI_FIRLMBWTR001_PRIME</v>
      </c>
      <c r="C75" s="276">
        <f t="shared" si="5"/>
        <v>4000</v>
      </c>
      <c r="D75" s="412" t="str">
        <f>IF($K75&lt;192,"",IF($K75&gt;597,"",IF(VLOOKUP($K75,'CIRS Table Info'!$B$6:$J$425,4,FALSE)="Data",VLOOKUP($K75,'CIRS Table Info'!$B$6:$J$425,3,FALSE),"")))</f>
        <v>No Co-add</v>
      </c>
      <c r="E75" s="413" t="str">
        <f>IF($K75&lt;192,"",IF($K75&gt;597,"",IF(VLOOKUP($K75,'CIRS Table Info'!$B$6:$J$425,5,FALSE)="Data",VLOOKUP($K75,'CIRS Table Info'!$B$6:$J$425,3,FALSE),"")))</f>
        <v>No Co-add</v>
      </c>
      <c r="F75" s="414" t="str">
        <f>IF($K75&lt;192,"",IF($K75&gt;597,"",IF(VLOOKUP($K75,'CIRS Table Info'!$B$6:$J$425,7,FALSE)="Data",VLOOKUP($K75,'CIRS Table Info'!$B$6:$J$425,3,FALSE),"")))</f>
        <v>No Co-add</v>
      </c>
      <c r="G75" s="367">
        <f>IF($K75&lt;192,"",IF($K75&gt;597,"",VLOOKUP($K75,'CIRS Table Info'!$B$6:$J$425,2,FALSE)))</f>
        <v>0.53</v>
      </c>
      <c r="H75" s="412" t="str">
        <f>IF($K75&lt;192,"",IF($K75&gt;597,"",VLOOKUP($K75,'CIRS Table Info'!$B$6:$J$425,6,FALSE)))</f>
        <v>Blink</v>
      </c>
      <c r="I75" s="414" t="str">
        <f>IF($K75&lt;192,"",IF($K75&gt;597,"",VLOOKUP($K75,'CIRS Table Info'!$B$6:$J$425,8,FALSE)))</f>
        <v>Blink</v>
      </c>
      <c r="J75" s="423">
        <f t="shared" si="6"/>
        <v>4.1666666666666699E-2</v>
      </c>
      <c r="K75" s="141">
        <f t="shared" si="7"/>
        <v>283</v>
      </c>
      <c r="L75" s="468">
        <f>VLOOKUP($B75,'CIRS Table IDs'!$B:$P,15,FALSE)</f>
        <v>1</v>
      </c>
      <c r="M75" s="415" t="str">
        <f>IF($K75&lt;192,"",IF($K75&gt;597,"",VLOOKUP($K75,'CIRS Table Info'!$B$6:$K$425,10,FALSE)))</f>
        <v>N\A</v>
      </c>
      <c r="N75" s="456"/>
      <c r="O75" s="278"/>
      <c r="P75" s="83">
        <f t="shared" si="8"/>
        <v>1</v>
      </c>
      <c r="Q75" s="70" t="str">
        <f t="shared" si="9"/>
        <v/>
      </c>
      <c r="R75" s="14">
        <f t="shared" si="10"/>
        <v>3600</v>
      </c>
    </row>
    <row r="76" spans="1:19" x14ac:dyDescent="0.2">
      <c r="A76" s="83">
        <f t="shared" si="4"/>
        <v>23</v>
      </c>
      <c r="B76" s="275" t="str">
        <f t="shared" si="4"/>
        <v>CIRS_250TI_FIRNADMAP002_PRIME</v>
      </c>
      <c r="C76" s="276" t="str">
        <f t="shared" si="5"/>
        <v>Co-add</v>
      </c>
      <c r="D76" s="412" t="str">
        <f>IF($K76&lt;192,"",IF($K76&gt;597,"",IF(VLOOKUP($K76,'CIRS Table Info'!$B$6:$J$425,4,FALSE)="Data",VLOOKUP($K76,'CIRS Table Info'!$B$6:$J$425,3,FALSE),"")))</f>
        <v>Co-add</v>
      </c>
      <c r="E76" s="413" t="str">
        <f>IF($K76&lt;192,"",IF($K76&gt;597,"",IF(VLOOKUP($K76,'CIRS Table Info'!$B$6:$J$425,5,FALSE)="Data",VLOOKUP($K76,'CIRS Table Info'!$B$6:$J$425,3,FALSE),"")))</f>
        <v>Co-add</v>
      </c>
      <c r="F76" s="414" t="str">
        <f>IF($K76&lt;192,"",IF($K76&gt;597,"",IF(VLOOKUP($K76,'CIRS Table Info'!$B$6:$J$425,7,FALSE)="Data",VLOOKUP($K76,'CIRS Table Info'!$B$6:$J$425,3,FALSE),"")))</f>
        <v>Co-add</v>
      </c>
      <c r="G76" s="367">
        <f>IF($K76&lt;192,"",IF($K76&gt;597,"",VLOOKUP($K76,'CIRS Table Info'!$B$6:$J$425,2,FALSE)))</f>
        <v>15.67</v>
      </c>
      <c r="H76" s="412" t="str">
        <f>IF($K76&lt;192,"",IF($K76&gt;597,"",VLOOKUP($K76,'CIRS Table Info'!$B$6:$J$425,6,FALSE)))</f>
        <v>Blink</v>
      </c>
      <c r="I76" s="414" t="str">
        <f>IF($K76&lt;192,"",IF($K76&gt;597,"",VLOOKUP($K76,'CIRS Table Info'!$B$6:$J$425,8,FALSE)))</f>
        <v>Blink</v>
      </c>
      <c r="J76" s="423">
        <f t="shared" si="6"/>
        <v>0.114583333333333</v>
      </c>
      <c r="K76" s="141">
        <f t="shared" si="7"/>
        <v>461</v>
      </c>
      <c r="L76" s="468">
        <f>VLOOKUP($B76,'CIRS Table IDs'!$B:$P,15,FALSE)</f>
        <v>1</v>
      </c>
      <c r="M76" s="415">
        <f>IF($K76&lt;192,"",IF($K76&gt;597,"",VLOOKUP($K76,'CIRS Table Info'!$B$6:$K$425,10,FALSE)))</f>
        <v>3</v>
      </c>
      <c r="N76" s="456"/>
      <c r="O76" s="278"/>
      <c r="P76" s="83">
        <f t="shared" si="8"/>
        <v>1</v>
      </c>
      <c r="Q76" s="70" t="str">
        <f t="shared" si="9"/>
        <v/>
      </c>
      <c r="R76" s="14">
        <f t="shared" si="10"/>
        <v>1900</v>
      </c>
    </row>
    <row r="77" spans="1:19" x14ac:dyDescent="0.2">
      <c r="A77" s="83">
        <f t="shared" si="4"/>
        <v>24</v>
      </c>
      <c r="B77" s="275" t="str">
        <f t="shared" si="4"/>
        <v>CIRS_250TI_MIRLMBINT002_PRIME</v>
      </c>
      <c r="C77" s="276" t="str">
        <f t="shared" si="5"/>
        <v>No Co-add</v>
      </c>
      <c r="D77" s="412" t="str">
        <f>IF($K77&lt;192,"",IF($K77&gt;597,"",IF(VLOOKUP($K77,'CIRS Table Info'!$B$6:$J$425,4,FALSE)="Data",VLOOKUP($K77,'CIRS Table Info'!$B$6:$J$425,3,FALSE),"")))</f>
        <v>No Co-add</v>
      </c>
      <c r="E77" s="413" t="str">
        <f>IF($K77&lt;192,"",IF($K77&gt;597,"",IF(VLOOKUP($K77,'CIRS Table Info'!$B$6:$J$425,5,FALSE)="Data",VLOOKUP($K77,'CIRS Table Info'!$B$6:$J$425,3,FALSE),"")))</f>
        <v>No Co-add</v>
      </c>
      <c r="F77" s="414" t="str">
        <f>IF($K77&lt;192,"",IF($K77&gt;597,"",IF(VLOOKUP($K77,'CIRS Table Info'!$B$6:$J$425,7,FALSE)="Data",VLOOKUP($K77,'CIRS Table Info'!$B$6:$J$425,3,FALSE),"")))</f>
        <v>No Co-add</v>
      </c>
      <c r="G77" s="367">
        <f>IF($K77&lt;192,"",IF($K77&gt;597,"",VLOOKUP($K77,'CIRS Table Info'!$B$6:$J$425,2,FALSE)))</f>
        <v>0.53</v>
      </c>
      <c r="H77" s="412" t="str">
        <f>IF($K77&lt;192,"",IF($K77&gt;597,"",VLOOKUP($K77,'CIRS Table Info'!$B$6:$J$425,6,FALSE)))</f>
        <v>Blink</v>
      </c>
      <c r="I77" s="414" t="str">
        <f>IF($K77&lt;192,"",IF($K77&gt;597,"",VLOOKUP($K77,'CIRS Table Info'!$B$6:$J$425,8,FALSE)))</f>
        <v>Blink</v>
      </c>
      <c r="J77" s="423">
        <f t="shared" si="6"/>
        <v>0.16666666666666699</v>
      </c>
      <c r="K77" s="141">
        <f t="shared" si="7"/>
        <v>541</v>
      </c>
      <c r="L77" s="468">
        <f>VLOOKUP($B77,'CIRS Table IDs'!$B:$P,15,FALSE)</f>
        <v>1</v>
      </c>
      <c r="M77" s="415">
        <f>IF($K77&lt;192,"",IF($K77&gt;597,"",VLOOKUP($K77,'CIRS Table Info'!$B$6:$K$425,10,FALSE)))</f>
        <v>4</v>
      </c>
      <c r="N77" s="456"/>
      <c r="O77" s="278"/>
      <c r="P77" s="83">
        <f t="shared" si="8"/>
        <v>1</v>
      </c>
      <c r="Q77" s="70" t="str">
        <f t="shared" si="9"/>
        <v/>
      </c>
      <c r="R77" s="14">
        <f t="shared" si="10"/>
        <v>3600</v>
      </c>
    </row>
    <row r="78" spans="1:19" x14ac:dyDescent="0.2">
      <c r="A78" s="83">
        <f t="shared" si="4"/>
        <v>25</v>
      </c>
      <c r="B78" s="275" t="str">
        <f t="shared" si="4"/>
        <v>CIRS_250TI_FIRNADCMP002_PRIME</v>
      </c>
      <c r="C78" s="276">
        <f t="shared" si="5"/>
        <v>4000</v>
      </c>
      <c r="D78" s="412" t="str">
        <f>IF($K78&lt;192,"",IF($K78&gt;597,"",IF(VLOOKUP($K78,'CIRS Table Info'!$B$6:$J$425,4,FALSE)="Data",VLOOKUP($K78,'CIRS Table Info'!$B$6:$J$425,3,FALSE),"")))</f>
        <v>No Co-add</v>
      </c>
      <c r="E78" s="413" t="str">
        <f>IF($K78&lt;192,"",IF($K78&gt;597,"",IF(VLOOKUP($K78,'CIRS Table Info'!$B$6:$J$425,5,FALSE)="Data",VLOOKUP($K78,'CIRS Table Info'!$B$6:$J$425,3,FALSE),"")))</f>
        <v>No Co-add</v>
      </c>
      <c r="F78" s="414" t="str">
        <f>IF($K78&lt;192,"",IF($K78&gt;597,"",IF(VLOOKUP($K78,'CIRS Table Info'!$B$6:$J$425,7,FALSE)="Data",VLOOKUP($K78,'CIRS Table Info'!$B$6:$J$425,3,FALSE),"")))</f>
        <v>No Co-add</v>
      </c>
      <c r="G78" s="367">
        <f>IF($K78&lt;192,"",IF($K78&gt;597,"",VLOOKUP($K78,'CIRS Table Info'!$B$6:$J$425,2,FALSE)))</f>
        <v>0.53</v>
      </c>
      <c r="H78" s="412" t="str">
        <f>IF($K78&lt;192,"",IF($K78&gt;597,"",VLOOKUP($K78,'CIRS Table Info'!$B$6:$J$425,6,FALSE)))</f>
        <v>Blink</v>
      </c>
      <c r="I78" s="414" t="str">
        <f>IF($K78&lt;192,"",IF($K78&gt;597,"",VLOOKUP($K78,'CIRS Table Info'!$B$6:$J$425,8,FALSE)))</f>
        <v>Blink</v>
      </c>
      <c r="J78" s="423">
        <f t="shared" si="6"/>
        <v>0.16666666666666699</v>
      </c>
      <c r="K78" s="141">
        <f t="shared" si="7"/>
        <v>591</v>
      </c>
      <c r="L78" s="468">
        <f>VLOOKUP($B78,'CIRS Table IDs'!$B:$P,15,FALSE)</f>
        <v>1</v>
      </c>
      <c r="M78" s="415">
        <f>IF($K78&lt;192,"",IF($K78&gt;597,"",VLOOKUP($K78,'CIRS Table Info'!$B$6:$K$425,10,FALSE)))</f>
        <v>5</v>
      </c>
      <c r="N78" s="456"/>
      <c r="O78" s="278"/>
      <c r="P78" s="83">
        <f t="shared" si="8"/>
        <v>1</v>
      </c>
      <c r="Q78" s="70" t="str">
        <f t="shared" si="9"/>
        <v/>
      </c>
      <c r="R78" s="14">
        <f t="shared" si="10"/>
        <v>3600</v>
      </c>
    </row>
    <row r="79" spans="1:19" x14ac:dyDescent="0.2">
      <c r="A79" s="83">
        <f t="shared" si="4"/>
        <v>26</v>
      </c>
      <c r="B79" s="275" t="str">
        <f t="shared" si="4"/>
        <v>CIRS_250TI_MIDIRTMAP002_PRIME</v>
      </c>
      <c r="C79" s="276" t="str">
        <f t="shared" si="5"/>
        <v>Co-add</v>
      </c>
      <c r="D79" s="412" t="str">
        <f>IF($K79&lt;192,"",IF($K79&gt;597,"",IF(VLOOKUP($K79,'CIRS Table Info'!$B$6:$J$425,4,FALSE)="Data",VLOOKUP($K79,'CIRS Table Info'!$B$6:$J$425,3,FALSE),"")))</f>
        <v>Co-add</v>
      </c>
      <c r="E79" s="413" t="str">
        <f>IF($K79&lt;192,"",IF($K79&gt;597,"",IF(VLOOKUP($K79,'CIRS Table Info'!$B$6:$J$425,5,FALSE)="Data",VLOOKUP($K79,'CIRS Table Info'!$B$6:$J$425,3,FALSE),"")))</f>
        <v>Co-add</v>
      </c>
      <c r="F79" s="414" t="str">
        <f>IF($K79&lt;192,"",IF($K79&gt;597,"",IF(VLOOKUP($K79,'CIRS Table Info'!$B$6:$J$425,7,FALSE)="Data",VLOOKUP($K79,'CIRS Table Info'!$B$6:$J$425,3,FALSE),"")))</f>
        <v>Co-add</v>
      </c>
      <c r="G79" s="367">
        <f>IF($K79&lt;192,"",IF($K79&gt;597,"",VLOOKUP($K79,'CIRS Table Info'!$B$6:$J$425,2,FALSE)))</f>
        <v>2.85</v>
      </c>
      <c r="H79" s="412" t="str">
        <f>IF($K79&lt;192,"",IF($K79&gt;597,"",VLOOKUP($K79,'CIRS Table Info'!$B$6:$J$425,6,FALSE)))</f>
        <v>Blink</v>
      </c>
      <c r="I79" s="414" t="str">
        <f>IF($K79&lt;192,"",IF($K79&gt;597,"",VLOOKUP($K79,'CIRS Table Info'!$B$6:$J$425,8,FALSE)))</f>
        <v>Blink</v>
      </c>
      <c r="J79" s="423">
        <f t="shared" si="6"/>
        <v>0.27324074074074101</v>
      </c>
      <c r="K79" s="141">
        <f t="shared" si="7"/>
        <v>473</v>
      </c>
      <c r="L79" s="468">
        <f>VLOOKUP($B79,'CIRS Table IDs'!$B:$P,15,FALSE)</f>
        <v>1</v>
      </c>
      <c r="M79" s="415">
        <f>IF($K79&lt;192,"",IF($K79&gt;597,"",VLOOKUP($K79,'CIRS Table Info'!$B$6:$K$425,10,FALSE)))</f>
        <v>3</v>
      </c>
      <c r="N79" s="456"/>
      <c r="O79" s="278"/>
      <c r="P79" s="83">
        <f t="shared" si="8"/>
        <v>1</v>
      </c>
      <c r="Q79" s="70" t="str">
        <f t="shared" si="9"/>
        <v/>
      </c>
      <c r="R79" s="14">
        <f t="shared" si="10"/>
        <v>1900</v>
      </c>
    </row>
    <row r="80" spans="1:19" x14ac:dyDescent="0.2">
      <c r="A80" s="83">
        <f t="shared" si="4"/>
        <v>45</v>
      </c>
      <c r="B80" s="275" t="str">
        <f t="shared" si="4"/>
        <v>CIRS_252TI_COMPMAP001_PRIME</v>
      </c>
      <c r="C80" s="276" t="str">
        <f t="shared" si="5"/>
        <v>No Co-add</v>
      </c>
      <c r="D80" s="412" t="str">
        <f>IF($K80&lt;192,"",IF($K80&gt;597,"",IF(VLOOKUP($K80,'CIRS Table Info'!$B$6:$J$425,4,FALSE)="Data",VLOOKUP($K80,'CIRS Table Info'!$B$6:$J$425,3,FALSE),"")))</f>
        <v>No Co-add</v>
      </c>
      <c r="E80" s="413" t="str">
        <f>IF($K80&lt;192,"",IF($K80&gt;597,"",IF(VLOOKUP($K80,'CIRS Table Info'!$B$6:$J$425,5,FALSE)="Data",VLOOKUP($K80,'CIRS Table Info'!$B$6:$J$425,3,FALSE),"")))</f>
        <v>No Co-add</v>
      </c>
      <c r="F80" s="414" t="str">
        <f>IF($K80&lt;192,"",IF($K80&gt;597,"",IF(VLOOKUP($K80,'CIRS Table Info'!$B$6:$J$425,7,FALSE)="Data",VLOOKUP($K80,'CIRS Table Info'!$B$6:$J$425,3,FALSE),"")))</f>
        <v>No Co-add</v>
      </c>
      <c r="G80" s="367">
        <f>IF($K80&lt;192,"",IF($K80&gt;597,"",VLOOKUP($K80,'CIRS Table Info'!$B$6:$J$425,2,FALSE)))</f>
        <v>0.53</v>
      </c>
      <c r="H80" s="412" t="str">
        <f>IF($K80&lt;192,"",IF($K80&gt;597,"",VLOOKUP($K80,'CIRS Table Info'!$B$6:$J$425,6,FALSE)))</f>
        <v>Blink</v>
      </c>
      <c r="I80" s="414" t="str">
        <f>IF($K80&lt;192,"",IF($K80&gt;597,"",VLOOKUP($K80,'CIRS Table Info'!$B$6:$J$425,8,FALSE)))</f>
        <v>Blink</v>
      </c>
      <c r="J80" s="423">
        <f t="shared" si="6"/>
        <v>0.16666666666666699</v>
      </c>
      <c r="K80" s="141">
        <f t="shared" si="7"/>
        <v>541</v>
      </c>
      <c r="L80" s="468">
        <f>VLOOKUP($B80,'CIRS Table IDs'!$B:$P,15,FALSE)</f>
        <v>1</v>
      </c>
      <c r="M80" s="415">
        <f>IF($K80&lt;192,"",IF($K80&gt;597,"",VLOOKUP($K80,'CIRS Table Info'!$B$6:$K$425,10,FALSE)))</f>
        <v>4</v>
      </c>
      <c r="N80" s="456"/>
      <c r="O80" s="278"/>
      <c r="P80" s="83">
        <f t="shared" si="8"/>
        <v>1</v>
      </c>
      <c r="Q80" s="70" t="str">
        <f t="shared" si="9"/>
        <v/>
      </c>
      <c r="R80" s="14">
        <f t="shared" si="10"/>
        <v>3600</v>
      </c>
    </row>
    <row r="81" spans="1:18" x14ac:dyDescent="0.2">
      <c r="A81" s="83">
        <f t="shared" si="4"/>
        <v>46</v>
      </c>
      <c r="B81" s="275" t="str">
        <f t="shared" si="4"/>
        <v>CIRS_253TI_MIDIRTMAP001_PRIME</v>
      </c>
      <c r="C81" s="276" t="str">
        <f t="shared" si="5"/>
        <v>No Co-add</v>
      </c>
      <c r="D81" s="412" t="str">
        <f>IF($K81&lt;192,"",IF($K81&gt;597,"",IF(VLOOKUP($K81,'CIRS Table Info'!$B$6:$J$425,4,FALSE)="Data",VLOOKUP($K81,'CIRS Table Info'!$B$6:$J$425,3,FALSE),"")))</f>
        <v>No Co-add</v>
      </c>
      <c r="E81" s="413" t="str">
        <f>IF($K81&lt;192,"",IF($K81&gt;597,"",IF(VLOOKUP($K81,'CIRS Table Info'!$B$6:$J$425,5,FALSE)="Data",VLOOKUP($K81,'CIRS Table Info'!$B$6:$J$425,3,FALSE),"")))</f>
        <v>No Co-add</v>
      </c>
      <c r="F81" s="414" t="str">
        <f>IF($K81&lt;192,"",IF($K81&gt;597,"",IF(VLOOKUP($K81,'CIRS Table Info'!$B$6:$J$425,7,FALSE)="Data",VLOOKUP($K81,'CIRS Table Info'!$B$6:$J$425,3,FALSE),"")))</f>
        <v>No Co-add</v>
      </c>
      <c r="G81" s="367">
        <f>IF($K81&lt;192,"",IF($K81&gt;597,"",VLOOKUP($K81,'CIRS Table Info'!$B$6:$J$425,2,FALSE)))</f>
        <v>2.85</v>
      </c>
      <c r="H81" s="412" t="str">
        <f>IF($K81&lt;192,"",IF($K81&gt;597,"",VLOOKUP($K81,'CIRS Table Info'!$B$6:$J$425,6,FALSE)))</f>
        <v>Blink</v>
      </c>
      <c r="I81" s="414" t="str">
        <f>IF($K81&lt;192,"",IF($K81&gt;597,"",VLOOKUP($K81,'CIRS Table Info'!$B$6:$J$425,8,FALSE)))</f>
        <v>Blink</v>
      </c>
      <c r="J81" s="423">
        <f t="shared" si="6"/>
        <v>0.25347222222222199</v>
      </c>
      <c r="K81" s="141">
        <f t="shared" si="7"/>
        <v>467</v>
      </c>
      <c r="L81" s="468">
        <f>VLOOKUP($B81,'CIRS Table IDs'!$B:$P,15,FALSE)</f>
        <v>2</v>
      </c>
      <c r="M81" s="415">
        <f>IF($K81&lt;192,"",IF($K81&gt;597,"",VLOOKUP($K81,'CIRS Table Info'!$B$6:$K$425,10,FALSE)))</f>
        <v>3</v>
      </c>
      <c r="N81" s="456"/>
      <c r="O81" s="278"/>
      <c r="P81" s="83">
        <f t="shared" si="8"/>
        <v>1</v>
      </c>
      <c r="Q81" s="70" t="str">
        <f t="shared" si="9"/>
        <v/>
      </c>
      <c r="R81" s="14">
        <f t="shared" si="10"/>
        <v>3600</v>
      </c>
    </row>
    <row r="82" spans="1:18" x14ac:dyDescent="0.2">
      <c r="A82" s="83">
        <f t="shared" si="4"/>
        <v>47</v>
      </c>
      <c r="B82" s="275" t="str">
        <f t="shared" si="4"/>
        <v>CIRS_253TI_CLOUD001_ISS</v>
      </c>
      <c r="C82" s="276" t="str">
        <f t="shared" si="5"/>
        <v>No Co-add</v>
      </c>
      <c r="D82" s="412" t="str">
        <f>IF($K82&lt;192,"",IF($K82&gt;597,"",IF(VLOOKUP($K82,'CIRS Table Info'!$B$6:$J$425,4,FALSE)="Data",VLOOKUP($K82,'CIRS Table Info'!$B$6:$J$425,3,FALSE),"")))</f>
        <v>No Co-add</v>
      </c>
      <c r="E82" s="413" t="str">
        <f>IF($K82&lt;192,"",IF($K82&gt;597,"",IF(VLOOKUP($K82,'CIRS Table Info'!$B$6:$J$425,5,FALSE)="Data",VLOOKUP($K82,'CIRS Table Info'!$B$6:$J$425,3,FALSE),"")))</f>
        <v>No Co-add</v>
      </c>
      <c r="F82" s="414" t="str">
        <f>IF($K82&lt;192,"",IF($K82&gt;597,"",IF(VLOOKUP($K82,'CIRS Table Info'!$B$6:$J$425,7,FALSE)="Data",VLOOKUP($K82,'CIRS Table Info'!$B$6:$J$425,3,FALSE),"")))</f>
        <v>No Co-add</v>
      </c>
      <c r="G82" s="367">
        <f>IF($K82&lt;192,"",IF($K82&gt;597,"",VLOOKUP($K82,'CIRS Table Info'!$B$6:$J$425,2,FALSE)))</f>
        <v>0.53</v>
      </c>
      <c r="H82" s="412" t="str">
        <f>IF($K82&lt;192,"",IF($K82&gt;597,"",VLOOKUP($K82,'CIRS Table Info'!$B$6:$J$425,6,FALSE)))</f>
        <v>Blink</v>
      </c>
      <c r="I82" s="414" t="str">
        <f>IF($K82&lt;192,"",IF($K82&gt;597,"",VLOOKUP($K82,'CIRS Table Info'!$B$6:$J$425,8,FALSE)))</f>
        <v>Blink</v>
      </c>
      <c r="J82" s="423">
        <f t="shared" si="6"/>
        <v>4.1666666666666699E-2</v>
      </c>
      <c r="K82" s="141">
        <f t="shared" si="7"/>
        <v>491</v>
      </c>
      <c r="L82" s="468">
        <f>VLOOKUP($B82,'CIRS Table IDs'!$B:$P,15,FALSE)</f>
        <v>1</v>
      </c>
      <c r="M82" s="415">
        <f>IF($K82&lt;192,"",IF($K82&gt;597,"",VLOOKUP($K82,'CIRS Table Info'!$B$6:$K$425,10,FALSE)))</f>
        <v>3</v>
      </c>
      <c r="N82" s="456"/>
      <c r="O82" s="278"/>
      <c r="P82" s="83">
        <f t="shared" si="8"/>
        <v>1</v>
      </c>
      <c r="Q82" s="70" t="str">
        <f t="shared" si="9"/>
        <v/>
      </c>
      <c r="R82" s="14">
        <f t="shared" si="10"/>
        <v>3600</v>
      </c>
    </row>
    <row r="83" spans="1:18" x14ac:dyDescent="0.2">
      <c r="A83" s="83">
        <f t="shared" si="4"/>
        <v>48</v>
      </c>
      <c r="B83" s="275" t="str">
        <f t="shared" si="4"/>
        <v>CIRS_253TI_COMPMAP001_PRIME</v>
      </c>
      <c r="C83" s="276" t="str">
        <f t="shared" si="5"/>
        <v>No Co-add</v>
      </c>
      <c r="D83" s="412" t="str">
        <f>IF($K83&lt;192,"",IF($K83&gt;597,"",IF(VLOOKUP($K83,'CIRS Table Info'!$B$6:$J$425,4,FALSE)="Data",VLOOKUP($K83,'CIRS Table Info'!$B$6:$J$425,3,FALSE),"")))</f>
        <v>No Co-add</v>
      </c>
      <c r="E83" s="413" t="str">
        <f>IF($K83&lt;192,"",IF($K83&gt;597,"",IF(VLOOKUP($K83,'CIRS Table Info'!$B$6:$J$425,5,FALSE)="Data",VLOOKUP($K83,'CIRS Table Info'!$B$6:$J$425,3,FALSE),"")))</f>
        <v>No Co-add</v>
      </c>
      <c r="F83" s="414" t="str">
        <f>IF($K83&lt;192,"",IF($K83&gt;597,"",IF(VLOOKUP($K83,'CIRS Table Info'!$B$6:$J$425,7,FALSE)="Data",VLOOKUP($K83,'CIRS Table Info'!$B$6:$J$425,3,FALSE),"")))</f>
        <v>No Co-add</v>
      </c>
      <c r="G83" s="367">
        <f>IF($K83&lt;192,"",IF($K83&gt;597,"",VLOOKUP($K83,'CIRS Table Info'!$B$6:$J$425,2,FALSE)))</f>
        <v>0.53</v>
      </c>
      <c r="H83" s="412" t="str">
        <f>IF($K83&lt;192,"",IF($K83&gt;597,"",VLOOKUP($K83,'CIRS Table Info'!$B$6:$J$425,6,FALSE)))</f>
        <v>Blink</v>
      </c>
      <c r="I83" s="414" t="str">
        <f>IF($K83&lt;192,"",IF($K83&gt;597,"",VLOOKUP($K83,'CIRS Table Info'!$B$6:$J$425,8,FALSE)))</f>
        <v>Blink</v>
      </c>
      <c r="J83" s="423">
        <f t="shared" si="6"/>
        <v>0.16666666666666699</v>
      </c>
      <c r="K83" s="141">
        <f t="shared" si="7"/>
        <v>541</v>
      </c>
      <c r="L83" s="468">
        <f>VLOOKUP($B83,'CIRS Table IDs'!$B:$P,15,FALSE)</f>
        <v>1</v>
      </c>
      <c r="M83" s="415">
        <f>IF($K83&lt;192,"",IF($K83&gt;597,"",VLOOKUP($K83,'CIRS Table Info'!$B$6:$K$425,10,FALSE)))</f>
        <v>4</v>
      </c>
      <c r="N83" s="456"/>
      <c r="O83" s="278"/>
      <c r="P83" s="83">
        <f t="shared" si="8"/>
        <v>1</v>
      </c>
      <c r="Q83" s="70" t="str">
        <f t="shared" si="9"/>
        <v/>
      </c>
      <c r="R83" s="14">
        <f t="shared" si="10"/>
        <v>3600</v>
      </c>
    </row>
    <row r="84" spans="1:18" x14ac:dyDescent="0.2">
      <c r="A84" s="83">
        <f t="shared" si="4"/>
        <v>49</v>
      </c>
      <c r="B84" s="275" t="str">
        <f t="shared" si="4"/>
        <v>CIRS_253TI_CLOUD002_ISS</v>
      </c>
      <c r="C84" s="276" t="str">
        <f t="shared" si="5"/>
        <v>No Co-add</v>
      </c>
      <c r="D84" s="412" t="str">
        <f>IF($K84&lt;192,"",IF($K84&gt;597,"",IF(VLOOKUP($K84,'CIRS Table Info'!$B$6:$J$425,4,FALSE)="Data",VLOOKUP($K84,'CIRS Table Info'!$B$6:$J$425,3,FALSE),"")))</f>
        <v>No Co-add</v>
      </c>
      <c r="E84" s="413" t="str">
        <f>IF($K84&lt;192,"",IF($K84&gt;597,"",IF(VLOOKUP($K84,'CIRS Table Info'!$B$6:$J$425,5,FALSE)="Data",VLOOKUP($K84,'CIRS Table Info'!$B$6:$J$425,3,FALSE),"")))</f>
        <v>No Co-add</v>
      </c>
      <c r="F84" s="414" t="str">
        <f>IF($K84&lt;192,"",IF($K84&gt;597,"",IF(VLOOKUP($K84,'CIRS Table Info'!$B$6:$J$425,7,FALSE)="Data",VLOOKUP($K84,'CIRS Table Info'!$B$6:$J$425,3,FALSE),"")))</f>
        <v>No Co-add</v>
      </c>
      <c r="G84" s="367">
        <f>IF($K84&lt;192,"",IF($K84&gt;597,"",VLOOKUP($K84,'CIRS Table Info'!$B$6:$J$425,2,FALSE)))</f>
        <v>0.53</v>
      </c>
      <c r="H84" s="412" t="str">
        <f>IF($K84&lt;192,"",IF($K84&gt;597,"",VLOOKUP($K84,'CIRS Table Info'!$B$6:$J$425,6,FALSE)))</f>
        <v>Blink</v>
      </c>
      <c r="I84" s="414" t="str">
        <f>IF($K84&lt;192,"",IF($K84&gt;597,"",VLOOKUP($K84,'CIRS Table Info'!$B$6:$J$425,8,FALSE)))</f>
        <v>Blink</v>
      </c>
      <c r="J84" s="423">
        <f t="shared" si="6"/>
        <v>4.1666666666666699E-2</v>
      </c>
      <c r="K84" s="141">
        <f t="shared" si="7"/>
        <v>491</v>
      </c>
      <c r="L84" s="468">
        <f>VLOOKUP($B84,'CIRS Table IDs'!$B:$P,15,FALSE)</f>
        <v>1</v>
      </c>
      <c r="M84" s="415">
        <f>IF($K84&lt;192,"",IF($K84&gt;597,"",VLOOKUP($K84,'CIRS Table Info'!$B$6:$K$425,10,FALSE)))</f>
        <v>3</v>
      </c>
      <c r="N84" s="456"/>
      <c r="O84" s="278"/>
      <c r="P84" s="83">
        <f t="shared" si="8"/>
        <v>1</v>
      </c>
      <c r="Q84" s="70" t="str">
        <f t="shared" si="9"/>
        <v/>
      </c>
      <c r="R84" s="14">
        <f t="shared" si="10"/>
        <v>3600</v>
      </c>
    </row>
    <row r="85" spans="1:18" x14ac:dyDescent="0.2">
      <c r="A85" s="83">
        <f t="shared" si="4"/>
        <v>50</v>
      </c>
      <c r="B85" s="275" t="str">
        <f t="shared" si="4"/>
        <v>CIRS_253TI_MIDIRTMAP002_PRIME</v>
      </c>
      <c r="C85" s="276" t="str">
        <f t="shared" si="5"/>
        <v>No Co-add</v>
      </c>
      <c r="D85" s="412" t="str">
        <f>IF($K85&lt;192,"",IF($K85&gt;597,"",IF(VLOOKUP($K85,'CIRS Table Info'!$B$6:$J$425,4,FALSE)="Data",VLOOKUP($K85,'CIRS Table Info'!$B$6:$J$425,3,FALSE),"")))</f>
        <v>No Co-add</v>
      </c>
      <c r="E85" s="413" t="str">
        <f>IF($K85&lt;192,"",IF($K85&gt;597,"",IF(VLOOKUP($K85,'CIRS Table Info'!$B$6:$J$425,5,FALSE)="Data",VLOOKUP($K85,'CIRS Table Info'!$B$6:$J$425,3,FALSE),"")))</f>
        <v>No Co-add</v>
      </c>
      <c r="F85" s="414" t="str">
        <f>IF($K85&lt;192,"",IF($K85&gt;597,"",IF(VLOOKUP($K85,'CIRS Table Info'!$B$6:$J$425,7,FALSE)="Data",VLOOKUP($K85,'CIRS Table Info'!$B$6:$J$425,3,FALSE),"")))</f>
        <v>No Co-add</v>
      </c>
      <c r="G85" s="367">
        <f>IF($K85&lt;192,"",IF($K85&gt;597,"",VLOOKUP($K85,'CIRS Table Info'!$B$6:$J$425,2,FALSE)))</f>
        <v>2.85</v>
      </c>
      <c r="H85" s="412" t="str">
        <f>IF($K85&lt;192,"",IF($K85&gt;597,"",VLOOKUP($K85,'CIRS Table Info'!$B$6:$J$425,6,FALSE)))</f>
        <v>Blink</v>
      </c>
      <c r="I85" s="414" t="str">
        <f>IF($K85&lt;192,"",IF($K85&gt;597,"",VLOOKUP($K85,'CIRS Table Info'!$B$6:$J$425,8,FALSE)))</f>
        <v>Blink</v>
      </c>
      <c r="J85" s="423">
        <f t="shared" si="6"/>
        <v>0.16666666666666699</v>
      </c>
      <c r="K85" s="141">
        <f t="shared" si="7"/>
        <v>467</v>
      </c>
      <c r="L85" s="468">
        <f>VLOOKUP($B85,'CIRS Table IDs'!$B:$P,15,FALSE)</f>
        <v>2</v>
      </c>
      <c r="M85" s="415">
        <f>IF($K85&lt;192,"",IF($K85&gt;597,"",VLOOKUP($K85,'CIRS Table Info'!$B$6:$K$425,10,FALSE)))</f>
        <v>3</v>
      </c>
      <c r="N85" s="456"/>
      <c r="O85" s="278"/>
      <c r="P85" s="83">
        <f t="shared" si="8"/>
        <v>1</v>
      </c>
      <c r="Q85" s="70" t="str">
        <f t="shared" si="9"/>
        <v/>
      </c>
      <c r="R85" s="14">
        <f t="shared" si="10"/>
        <v>3600</v>
      </c>
    </row>
    <row r="86" spans="1:18" x14ac:dyDescent="0.2">
      <c r="A86" s="83">
        <f t="shared" si="4"/>
        <v>51</v>
      </c>
      <c r="B86" s="275" t="str">
        <f t="shared" si="4"/>
        <v>CIRS_253TI_CLOUD003_ISS</v>
      </c>
      <c r="C86" s="276" t="str">
        <f t="shared" si="5"/>
        <v>No Co-add</v>
      </c>
      <c r="D86" s="412" t="str">
        <f>IF($K86&lt;192,"",IF($K86&gt;597,"",IF(VLOOKUP($K86,'CIRS Table Info'!$B$6:$J$425,4,FALSE)="Data",VLOOKUP($K86,'CIRS Table Info'!$B$6:$J$425,3,FALSE),"")))</f>
        <v>No Co-add</v>
      </c>
      <c r="E86" s="413" t="str">
        <f>IF($K86&lt;192,"",IF($K86&gt;597,"",IF(VLOOKUP($K86,'CIRS Table Info'!$B$6:$J$425,5,FALSE)="Data",VLOOKUP($K86,'CIRS Table Info'!$B$6:$J$425,3,FALSE),"")))</f>
        <v>No Co-add</v>
      </c>
      <c r="F86" s="414" t="str">
        <f>IF($K86&lt;192,"",IF($K86&gt;597,"",IF(VLOOKUP($K86,'CIRS Table Info'!$B$6:$J$425,7,FALSE)="Data",VLOOKUP($K86,'CIRS Table Info'!$B$6:$J$425,3,FALSE),"")))</f>
        <v>No Co-add</v>
      </c>
      <c r="G86" s="367">
        <f>IF($K86&lt;192,"",IF($K86&gt;597,"",VLOOKUP($K86,'CIRS Table Info'!$B$6:$J$425,2,FALSE)))</f>
        <v>0.53</v>
      </c>
      <c r="H86" s="412" t="str">
        <f>IF($K86&lt;192,"",IF($K86&gt;597,"",VLOOKUP($K86,'CIRS Table Info'!$B$6:$J$425,6,FALSE)))</f>
        <v>Blink</v>
      </c>
      <c r="I86" s="414" t="str">
        <f>IF($K86&lt;192,"",IF($K86&gt;597,"",VLOOKUP($K86,'CIRS Table Info'!$B$6:$J$425,8,FALSE)))</f>
        <v>Blink</v>
      </c>
      <c r="J86" s="423">
        <f t="shared" si="6"/>
        <v>4.1666666666666699E-2</v>
      </c>
      <c r="K86" s="141">
        <f t="shared" si="7"/>
        <v>491</v>
      </c>
      <c r="L86" s="468">
        <f>VLOOKUP($B86,'CIRS Table IDs'!$B:$P,15,FALSE)</f>
        <v>1</v>
      </c>
      <c r="M86" s="415">
        <f>IF($K86&lt;192,"",IF($K86&gt;597,"",VLOOKUP($K86,'CIRS Table Info'!$B$6:$K$425,10,FALSE)))</f>
        <v>3</v>
      </c>
      <c r="N86" s="456"/>
      <c r="O86" s="278"/>
      <c r="P86" s="83">
        <f t="shared" si="8"/>
        <v>1</v>
      </c>
      <c r="Q86" s="70" t="str">
        <f t="shared" si="9"/>
        <v/>
      </c>
      <c r="R86" s="14">
        <f t="shared" si="10"/>
        <v>3600</v>
      </c>
    </row>
    <row r="87" spans="1:18" x14ac:dyDescent="0.2">
      <c r="A87" s="83">
        <f t="shared" ref="A87:B106" si="11">A29</f>
        <v>52</v>
      </c>
      <c r="B87" s="275" t="str">
        <f t="shared" si="11"/>
        <v>CIRS_253TI_COMPMAP002_PRIME</v>
      </c>
      <c r="C87" s="276" t="str">
        <f t="shared" si="5"/>
        <v>No Co-add</v>
      </c>
      <c r="D87" s="412" t="str">
        <f>IF($K87&lt;192,"",IF($K87&gt;597,"",IF(VLOOKUP($K87,'CIRS Table Info'!$B$6:$J$425,4,FALSE)="Data",VLOOKUP($K87,'CIRS Table Info'!$B$6:$J$425,3,FALSE),"")))</f>
        <v>No Co-add</v>
      </c>
      <c r="E87" s="413" t="str">
        <f>IF($K87&lt;192,"",IF($K87&gt;597,"",IF(VLOOKUP($K87,'CIRS Table Info'!$B$6:$J$425,5,FALSE)="Data",VLOOKUP($K87,'CIRS Table Info'!$B$6:$J$425,3,FALSE),"")))</f>
        <v>No Co-add</v>
      </c>
      <c r="F87" s="414" t="str">
        <f>IF($K87&lt;192,"",IF($K87&gt;597,"",IF(VLOOKUP($K87,'CIRS Table Info'!$B$6:$J$425,7,FALSE)="Data",VLOOKUP($K87,'CIRS Table Info'!$B$6:$J$425,3,FALSE),"")))</f>
        <v>No Co-add</v>
      </c>
      <c r="G87" s="367">
        <f>IF($K87&lt;192,"",IF($K87&gt;597,"",VLOOKUP($K87,'CIRS Table Info'!$B$6:$J$425,2,FALSE)))</f>
        <v>0.53</v>
      </c>
      <c r="H87" s="412" t="str">
        <f>IF($K87&lt;192,"",IF($K87&gt;597,"",VLOOKUP($K87,'CIRS Table Info'!$B$6:$J$425,6,FALSE)))</f>
        <v>Blink</v>
      </c>
      <c r="I87" s="414" t="str">
        <f>IF($K87&lt;192,"",IF($K87&gt;597,"",VLOOKUP($K87,'CIRS Table Info'!$B$6:$J$425,8,FALSE)))</f>
        <v>Blink</v>
      </c>
      <c r="J87" s="423">
        <f t="shared" si="6"/>
        <v>6.25E-2</v>
      </c>
      <c r="K87" s="141">
        <f t="shared" si="7"/>
        <v>541</v>
      </c>
      <c r="L87" s="468">
        <f>VLOOKUP($B87,'CIRS Table IDs'!$B:$P,15,FALSE)</f>
        <v>1</v>
      </c>
      <c r="M87" s="415">
        <f>IF($K87&lt;192,"",IF($K87&gt;597,"",VLOOKUP($K87,'CIRS Table Info'!$B$6:$K$425,10,FALSE)))</f>
        <v>4</v>
      </c>
      <c r="N87" s="456"/>
      <c r="O87" s="278"/>
      <c r="P87" s="83">
        <f t="shared" si="8"/>
        <v>1</v>
      </c>
      <c r="Q87" s="70" t="str">
        <f t="shared" si="9"/>
        <v/>
      </c>
      <c r="R87" s="14">
        <f t="shared" si="10"/>
        <v>3600</v>
      </c>
    </row>
    <row r="88" spans="1:18" x14ac:dyDescent="0.2">
      <c r="A88" s="83">
        <f t="shared" si="11"/>
        <v>53</v>
      </c>
      <c r="B88" s="275" t="str">
        <f t="shared" si="11"/>
        <v>CIRS_253TI_LRMONITOR002_ISS</v>
      </c>
      <c r="C88" s="276" t="str">
        <f t="shared" si="5"/>
        <v>No Co-add</v>
      </c>
      <c r="D88" s="412" t="str">
        <f>IF($K88&lt;192,"",IF($K88&gt;597,"",IF(VLOOKUP($K88,'CIRS Table Info'!$B$6:$J$425,4,FALSE)="Data",VLOOKUP($K88,'CIRS Table Info'!$B$6:$J$425,3,FALSE),"")))</f>
        <v>No Co-add</v>
      </c>
      <c r="E88" s="413" t="str">
        <f>IF($K88&lt;192,"",IF($K88&gt;597,"",IF(VLOOKUP($K88,'CIRS Table Info'!$B$6:$J$425,5,FALSE)="Data",VLOOKUP($K88,'CIRS Table Info'!$B$6:$J$425,3,FALSE),"")))</f>
        <v>No Co-add</v>
      </c>
      <c r="F88" s="414" t="str">
        <f>IF($K88&lt;192,"",IF($K88&gt;597,"",IF(VLOOKUP($K88,'CIRS Table Info'!$B$6:$J$425,7,FALSE)="Data",VLOOKUP($K88,'CIRS Table Info'!$B$6:$J$425,3,FALSE),"")))</f>
        <v>No Co-add</v>
      </c>
      <c r="G88" s="367">
        <f>IF($K88&lt;192,"",IF($K88&gt;597,"",VLOOKUP($K88,'CIRS Table Info'!$B$6:$J$425,2,FALSE)))</f>
        <v>0.53</v>
      </c>
      <c r="H88" s="412" t="str">
        <f>IF($K88&lt;192,"",IF($K88&gt;597,"",VLOOKUP($K88,'CIRS Table Info'!$B$6:$J$425,6,FALSE)))</f>
        <v>Blink</v>
      </c>
      <c r="I88" s="414" t="str">
        <f>IF($K88&lt;192,"",IF($K88&gt;597,"",VLOOKUP($K88,'CIRS Table Info'!$B$6:$J$425,8,FALSE)))</f>
        <v>Blink</v>
      </c>
      <c r="J88" s="423">
        <f t="shared" si="6"/>
        <v>4.1666666666666699E-2</v>
      </c>
      <c r="K88" s="141">
        <f t="shared" si="7"/>
        <v>541</v>
      </c>
      <c r="L88" s="468">
        <f>VLOOKUP($B88,'CIRS Table IDs'!$B:$P,15,FALSE)</f>
        <v>1</v>
      </c>
      <c r="M88" s="415">
        <f>IF($K88&lt;192,"",IF($K88&gt;597,"",VLOOKUP($K88,'CIRS Table Info'!$B$6:$K$425,10,FALSE)))</f>
        <v>4</v>
      </c>
      <c r="N88" s="456"/>
      <c r="O88" s="278"/>
      <c r="P88" s="83">
        <f t="shared" si="8"/>
        <v>1</v>
      </c>
      <c r="Q88" s="70" t="str">
        <f t="shared" si="9"/>
        <v/>
      </c>
      <c r="R88" s="14">
        <f t="shared" si="10"/>
        <v>3600</v>
      </c>
    </row>
    <row r="89" spans="1:18" x14ac:dyDescent="0.2">
      <c r="A89" s="83">
        <f t="shared" si="11"/>
        <v>54</v>
      </c>
      <c r="B89" s="275" t="str">
        <f t="shared" si="11"/>
        <v>CIRS_253TI_MIDIRTMAP003_PRIME</v>
      </c>
      <c r="C89" s="276" t="str">
        <f t="shared" si="5"/>
        <v>No Co-add</v>
      </c>
      <c r="D89" s="412" t="str">
        <f>IF($K89&lt;192,"",IF($K89&gt;597,"",IF(VLOOKUP($K89,'CIRS Table Info'!$B$6:$J$425,4,FALSE)="Data",VLOOKUP($K89,'CIRS Table Info'!$B$6:$J$425,3,FALSE),"")))</f>
        <v>No Co-add</v>
      </c>
      <c r="E89" s="413" t="str">
        <f>IF($K89&lt;192,"",IF($K89&gt;597,"",IF(VLOOKUP($K89,'CIRS Table Info'!$B$6:$J$425,5,FALSE)="Data",VLOOKUP($K89,'CIRS Table Info'!$B$6:$J$425,3,FALSE),"")))</f>
        <v>No Co-add</v>
      </c>
      <c r="F89" s="414" t="str">
        <f>IF($K89&lt;192,"",IF($K89&gt;597,"",IF(VLOOKUP($K89,'CIRS Table Info'!$B$6:$J$425,7,FALSE)="Data",VLOOKUP($K89,'CIRS Table Info'!$B$6:$J$425,3,FALSE),"")))</f>
        <v>No Co-add</v>
      </c>
      <c r="G89" s="367">
        <f>IF($K89&lt;192,"",IF($K89&gt;597,"",VLOOKUP($K89,'CIRS Table Info'!$B$6:$J$425,2,FALSE)))</f>
        <v>2.85</v>
      </c>
      <c r="H89" s="412" t="str">
        <f>IF($K89&lt;192,"",IF($K89&gt;597,"",VLOOKUP($K89,'CIRS Table Info'!$B$6:$J$425,6,FALSE)))</f>
        <v>Blink</v>
      </c>
      <c r="I89" s="414" t="str">
        <f>IF($K89&lt;192,"",IF($K89&gt;597,"",VLOOKUP($K89,'CIRS Table Info'!$B$6:$J$425,8,FALSE)))</f>
        <v>Blink</v>
      </c>
      <c r="J89" s="423">
        <f t="shared" si="6"/>
        <v>6.25E-2</v>
      </c>
      <c r="K89" s="141">
        <f t="shared" si="7"/>
        <v>467</v>
      </c>
      <c r="L89" s="468">
        <f>VLOOKUP($B89,'CIRS Table IDs'!$B:$P,15,FALSE)</f>
        <v>2</v>
      </c>
      <c r="M89" s="415">
        <f>IF($K89&lt;192,"",IF($K89&gt;597,"",VLOOKUP($K89,'CIRS Table Info'!$B$6:$K$425,10,FALSE)))</f>
        <v>3</v>
      </c>
      <c r="N89" s="456"/>
      <c r="O89" s="278"/>
      <c r="P89" s="83">
        <f t="shared" si="8"/>
        <v>1</v>
      </c>
      <c r="Q89" s="70" t="str">
        <f t="shared" si="9"/>
        <v/>
      </c>
      <c r="R89" s="14">
        <f t="shared" si="10"/>
        <v>3600</v>
      </c>
    </row>
    <row r="90" spans="1:18" x14ac:dyDescent="0.2">
      <c r="A90" s="83">
        <f t="shared" si="11"/>
        <v>55</v>
      </c>
      <c r="B90" s="275" t="str">
        <f t="shared" si="11"/>
        <v>CIRS_253TI_CLOUD004_ISS</v>
      </c>
      <c r="C90" s="276" t="str">
        <f t="shared" si="5"/>
        <v>No Co-add</v>
      </c>
      <c r="D90" s="412" t="str">
        <f>IF($K90&lt;192,"",IF($K90&gt;597,"",IF(VLOOKUP($K90,'CIRS Table Info'!$B$6:$J$425,4,FALSE)="Data",VLOOKUP($K90,'CIRS Table Info'!$B$6:$J$425,3,FALSE),"")))</f>
        <v>No Co-add</v>
      </c>
      <c r="E90" s="413" t="str">
        <f>IF($K90&lt;192,"",IF($K90&gt;597,"",IF(VLOOKUP($K90,'CIRS Table Info'!$B$6:$J$425,5,FALSE)="Data",VLOOKUP($K90,'CIRS Table Info'!$B$6:$J$425,3,FALSE),"")))</f>
        <v>No Co-add</v>
      </c>
      <c r="F90" s="414" t="str">
        <f>IF($K90&lt;192,"",IF($K90&gt;597,"",IF(VLOOKUP($K90,'CIRS Table Info'!$B$6:$J$425,7,FALSE)="Data",VLOOKUP($K90,'CIRS Table Info'!$B$6:$J$425,3,FALSE),"")))</f>
        <v>No Co-add</v>
      </c>
      <c r="G90" s="367">
        <f>IF($K90&lt;192,"",IF($K90&gt;597,"",VLOOKUP($K90,'CIRS Table Info'!$B$6:$J$425,2,FALSE)))</f>
        <v>0.53</v>
      </c>
      <c r="H90" s="412" t="str">
        <f>IF($K90&lt;192,"",IF($K90&gt;597,"",VLOOKUP($K90,'CIRS Table Info'!$B$6:$J$425,6,FALSE)))</f>
        <v>Blink</v>
      </c>
      <c r="I90" s="414" t="str">
        <f>IF($K90&lt;192,"",IF($K90&gt;597,"",VLOOKUP($K90,'CIRS Table Info'!$B$6:$J$425,8,FALSE)))</f>
        <v>Blink</v>
      </c>
      <c r="J90" s="423">
        <f t="shared" si="6"/>
        <v>4.1666666666666699E-2</v>
      </c>
      <c r="K90" s="141">
        <f t="shared" si="7"/>
        <v>491</v>
      </c>
      <c r="L90" s="468">
        <f>VLOOKUP($B90,'CIRS Table IDs'!$B:$P,15,FALSE)</f>
        <v>1</v>
      </c>
      <c r="M90" s="415">
        <f>IF($K90&lt;192,"",IF($K90&gt;597,"",VLOOKUP($K90,'CIRS Table Info'!$B$6:$K$425,10,FALSE)))</f>
        <v>3</v>
      </c>
      <c r="N90" s="456"/>
      <c r="O90" s="278"/>
      <c r="P90" s="83">
        <f t="shared" si="8"/>
        <v>1</v>
      </c>
      <c r="Q90" s="70" t="str">
        <f t="shared" si="9"/>
        <v/>
      </c>
      <c r="R90" s="14">
        <f t="shared" si="10"/>
        <v>3600</v>
      </c>
    </row>
    <row r="91" spans="1:18" x14ac:dyDescent="0.2">
      <c r="A91" s="83">
        <f t="shared" si="11"/>
        <v>56</v>
      </c>
      <c r="B91" s="275" t="str">
        <f t="shared" si="11"/>
        <v>CIRS_253TI_MIDIRTMAP004_PRIME</v>
      </c>
      <c r="C91" s="276" t="str">
        <f t="shared" si="5"/>
        <v>No Co-add</v>
      </c>
      <c r="D91" s="412" t="str">
        <f>IF($K91&lt;192,"",IF($K91&gt;597,"",IF(VLOOKUP($K91,'CIRS Table Info'!$B$6:$J$425,4,FALSE)="Data",VLOOKUP($K91,'CIRS Table Info'!$B$6:$J$425,3,FALSE),"")))</f>
        <v>No Co-add</v>
      </c>
      <c r="E91" s="413" t="str">
        <f>IF($K91&lt;192,"",IF($K91&gt;597,"",IF(VLOOKUP($K91,'CIRS Table Info'!$B$6:$J$425,5,FALSE)="Data",VLOOKUP($K91,'CIRS Table Info'!$B$6:$J$425,3,FALSE),"")))</f>
        <v>No Co-add</v>
      </c>
      <c r="F91" s="414" t="str">
        <f>IF($K91&lt;192,"",IF($K91&gt;597,"",IF(VLOOKUP($K91,'CIRS Table Info'!$B$6:$J$425,7,FALSE)="Data",VLOOKUP($K91,'CIRS Table Info'!$B$6:$J$425,3,FALSE),"")))</f>
        <v>No Co-add</v>
      </c>
      <c r="G91" s="367">
        <f>IF($K91&lt;192,"",IF($K91&gt;597,"",VLOOKUP($K91,'CIRS Table Info'!$B$6:$J$425,2,FALSE)))</f>
        <v>2.85</v>
      </c>
      <c r="H91" s="412" t="str">
        <f>IF($K91&lt;192,"",IF($K91&gt;597,"",VLOOKUP($K91,'CIRS Table Info'!$B$6:$J$425,6,FALSE)))</f>
        <v>Blink</v>
      </c>
      <c r="I91" s="414" t="str">
        <f>IF($K91&lt;192,"",IF($K91&gt;597,"",VLOOKUP($K91,'CIRS Table Info'!$B$6:$J$425,8,FALSE)))</f>
        <v>Blink</v>
      </c>
      <c r="J91" s="423">
        <f t="shared" si="6"/>
        <v>9.1666666666666702E-2</v>
      </c>
      <c r="K91" s="141">
        <f t="shared" si="7"/>
        <v>467</v>
      </c>
      <c r="L91" s="468">
        <f>VLOOKUP($B91,'CIRS Table IDs'!$B:$P,15,FALSE)</f>
        <v>2</v>
      </c>
      <c r="M91" s="415">
        <f>IF($K91&lt;192,"",IF($K91&gt;597,"",VLOOKUP($K91,'CIRS Table Info'!$B$6:$K$425,10,FALSE)))</f>
        <v>3</v>
      </c>
      <c r="N91" s="456"/>
      <c r="O91" s="278"/>
      <c r="P91" s="83">
        <f t="shared" si="8"/>
        <v>1</v>
      </c>
      <c r="Q91" s="70" t="str">
        <f t="shared" si="9"/>
        <v/>
      </c>
      <c r="R91" s="14">
        <f t="shared" si="10"/>
        <v>3600</v>
      </c>
    </row>
    <row r="92" spans="1:18" x14ac:dyDescent="0.2">
      <c r="A92" s="83">
        <f t="shared" si="11"/>
        <v>57</v>
      </c>
      <c r="B92" s="275" t="str">
        <f t="shared" si="11"/>
        <v>CIRS_253TI_CLOUD005_ISS</v>
      </c>
      <c r="C92" s="276" t="str">
        <f t="shared" si="5"/>
        <v>No Co-add</v>
      </c>
      <c r="D92" s="412" t="str">
        <f>IF($K92&lt;192,"",IF($K92&gt;597,"",IF(VLOOKUP($K92,'CIRS Table Info'!$B$6:$J$425,4,FALSE)="Data",VLOOKUP($K92,'CIRS Table Info'!$B$6:$J$425,3,FALSE),"")))</f>
        <v>No Co-add</v>
      </c>
      <c r="E92" s="413" t="str">
        <f>IF($K92&lt;192,"",IF($K92&gt;597,"",IF(VLOOKUP($K92,'CIRS Table Info'!$B$6:$J$425,5,FALSE)="Data",VLOOKUP($K92,'CIRS Table Info'!$B$6:$J$425,3,FALSE),"")))</f>
        <v>No Co-add</v>
      </c>
      <c r="F92" s="414" t="str">
        <f>IF($K92&lt;192,"",IF($K92&gt;597,"",IF(VLOOKUP($K92,'CIRS Table Info'!$B$6:$J$425,7,FALSE)="Data",VLOOKUP($K92,'CIRS Table Info'!$B$6:$J$425,3,FALSE),"")))</f>
        <v>No Co-add</v>
      </c>
      <c r="G92" s="367">
        <f>IF($K92&lt;192,"",IF($K92&gt;597,"",VLOOKUP($K92,'CIRS Table Info'!$B$6:$J$425,2,FALSE)))</f>
        <v>0.53</v>
      </c>
      <c r="H92" s="412" t="str">
        <f>IF($K92&lt;192,"",IF($K92&gt;597,"",VLOOKUP($K92,'CIRS Table Info'!$B$6:$J$425,6,FALSE)))</f>
        <v>Blink</v>
      </c>
      <c r="I92" s="414" t="str">
        <f>IF($K92&lt;192,"",IF($K92&gt;597,"",VLOOKUP($K92,'CIRS Table Info'!$B$6:$J$425,8,FALSE)))</f>
        <v>Blink</v>
      </c>
      <c r="J92" s="423">
        <f t="shared" si="6"/>
        <v>4.1666666666666699E-2</v>
      </c>
      <c r="K92" s="141">
        <f t="shared" si="7"/>
        <v>491</v>
      </c>
      <c r="L92" s="468">
        <f>VLOOKUP($B92,'CIRS Table IDs'!$B:$P,15,FALSE)</f>
        <v>1</v>
      </c>
      <c r="M92" s="415">
        <f>IF($K92&lt;192,"",IF($K92&gt;597,"",VLOOKUP($K92,'CIRS Table Info'!$B$6:$K$425,10,FALSE)))</f>
        <v>3</v>
      </c>
      <c r="N92" s="456"/>
      <c r="O92" s="278"/>
      <c r="P92" s="83">
        <f t="shared" si="8"/>
        <v>1</v>
      </c>
      <c r="Q92" s="70" t="str">
        <f t="shared" si="9"/>
        <v/>
      </c>
      <c r="R92" s="14">
        <f t="shared" si="10"/>
        <v>3600</v>
      </c>
    </row>
    <row r="93" spans="1:18" x14ac:dyDescent="0.2">
      <c r="A93" s="83">
        <f t="shared" si="11"/>
        <v>61</v>
      </c>
      <c r="B93" s="275" t="str">
        <f t="shared" si="11"/>
        <v>CIRS_253TI_M90R1CLD353_ISS</v>
      </c>
      <c r="C93" s="276">
        <f t="shared" si="5"/>
        <v>4000</v>
      </c>
      <c r="D93" s="412" t="str">
        <f>IF($K93&lt;192,"",IF($K93&gt;597,"",IF(VLOOKUP($K93,'CIRS Table Info'!$B$6:$J$425,4,FALSE)="Data",VLOOKUP($K93,'CIRS Table Info'!$B$6:$J$425,3,FALSE),"")))</f>
        <v>No Co-add</v>
      </c>
      <c r="E93" s="413" t="str">
        <f>IF($K93&lt;192,"",IF($K93&gt;597,"",IF(VLOOKUP($K93,'CIRS Table Info'!$B$6:$J$425,5,FALSE)="Data",VLOOKUP($K93,'CIRS Table Info'!$B$6:$J$425,3,FALSE),"")))</f>
        <v>No Co-add</v>
      </c>
      <c r="F93" s="414" t="str">
        <f>IF($K93&lt;192,"",IF($K93&gt;597,"",IF(VLOOKUP($K93,'CIRS Table Info'!$B$6:$J$425,7,FALSE)="Data",VLOOKUP($K93,'CIRS Table Info'!$B$6:$J$425,3,FALSE),"")))</f>
        <v>No Co-add</v>
      </c>
      <c r="G93" s="367">
        <f>IF($K93&lt;192,"",IF($K93&gt;597,"",VLOOKUP($K93,'CIRS Table Info'!$B$6:$J$425,2,FALSE)))</f>
        <v>0.53</v>
      </c>
      <c r="H93" s="412" t="str">
        <f>IF($K93&lt;192,"",IF($K93&gt;597,"",VLOOKUP($K93,'CIRS Table Info'!$B$6:$J$425,6,FALSE)))</f>
        <v>Blink</v>
      </c>
      <c r="I93" s="414" t="str">
        <f>IF($K93&lt;192,"",IF($K93&gt;597,"",VLOOKUP($K93,'CIRS Table Info'!$B$6:$J$425,8,FALSE)))</f>
        <v>Blink</v>
      </c>
      <c r="J93" s="423">
        <f t="shared" si="6"/>
        <v>8.3333333333333301E-2</v>
      </c>
      <c r="K93" s="141">
        <f t="shared" si="7"/>
        <v>341</v>
      </c>
      <c r="L93" s="468">
        <f>VLOOKUP($B93,'CIRS Table IDs'!$B:$P,15,FALSE)</f>
        <v>1</v>
      </c>
      <c r="M93" s="415">
        <f>IF($K93&lt;192,"",IF($K93&gt;597,"",VLOOKUP($K93,'CIRS Table Info'!$B$6:$K$425,10,FALSE)))</f>
        <v>0.5</v>
      </c>
      <c r="N93" s="456"/>
      <c r="O93" s="278"/>
      <c r="P93" s="83">
        <f t="shared" si="8"/>
        <v>1</v>
      </c>
      <c r="Q93" s="70" t="str">
        <f t="shared" si="9"/>
        <v/>
      </c>
      <c r="R93" s="14">
        <f t="shared" si="10"/>
        <v>3600</v>
      </c>
    </row>
    <row r="94" spans="1:18" x14ac:dyDescent="0.2">
      <c r="A94" s="83">
        <f t="shared" si="11"/>
        <v>72</v>
      </c>
      <c r="B94" s="275" t="str">
        <f t="shared" si="11"/>
        <v>CIRS_253TI_M150R2HZ355_ISS</v>
      </c>
      <c r="C94" s="276">
        <f t="shared" si="5"/>
        <v>4000</v>
      </c>
      <c r="D94" s="412" t="str">
        <f>IF($K94&lt;192,"",IF($K94&gt;597,"",IF(VLOOKUP($K94,'CIRS Table Info'!$B$6:$J$425,4,FALSE)="Data",VLOOKUP($K94,'CIRS Table Info'!$B$6:$J$425,3,FALSE),"")))</f>
        <v>No Co-add</v>
      </c>
      <c r="E94" s="413" t="str">
        <f>IF($K94&lt;192,"",IF($K94&gt;597,"",IF(VLOOKUP($K94,'CIRS Table Info'!$B$6:$J$425,5,FALSE)="Data",VLOOKUP($K94,'CIRS Table Info'!$B$6:$J$425,3,FALSE),"")))</f>
        <v>No Co-add</v>
      </c>
      <c r="F94" s="414" t="str">
        <f>IF($K94&lt;192,"",IF($K94&gt;597,"",IF(VLOOKUP($K94,'CIRS Table Info'!$B$6:$J$425,7,FALSE)="Data",VLOOKUP($K94,'CIRS Table Info'!$B$6:$J$425,3,FALSE),"")))</f>
        <v>No Co-add</v>
      </c>
      <c r="G94" s="367">
        <f>IF($K94&lt;192,"",IF($K94&gt;597,"",VLOOKUP($K94,'CIRS Table Info'!$B$6:$J$425,2,FALSE)))</f>
        <v>0.53</v>
      </c>
      <c r="H94" s="412" t="str">
        <f>IF($K94&lt;192,"",IF($K94&gt;597,"",VLOOKUP($K94,'CIRS Table Info'!$B$6:$J$425,6,FALSE)))</f>
        <v>Blink</v>
      </c>
      <c r="I94" s="414" t="str">
        <f>IF($K94&lt;192,"",IF($K94&gt;597,"",VLOOKUP($K94,'CIRS Table Info'!$B$6:$J$425,8,FALSE)))</f>
        <v>Blink</v>
      </c>
      <c r="J94" s="423">
        <f t="shared" si="6"/>
        <v>6.25E-2</v>
      </c>
      <c r="K94" s="141">
        <f t="shared" si="7"/>
        <v>341</v>
      </c>
      <c r="L94" s="468">
        <f>VLOOKUP($B94,'CIRS Table IDs'!$B:$P,15,FALSE)</f>
        <v>1</v>
      </c>
      <c r="M94" s="415">
        <f>IF($K94&lt;192,"",IF($K94&gt;597,"",VLOOKUP($K94,'CIRS Table Info'!$B$6:$K$425,10,FALSE)))</f>
        <v>0.5</v>
      </c>
      <c r="N94" s="456"/>
      <c r="O94" s="278"/>
      <c r="P94" s="83">
        <f t="shared" si="8"/>
        <v>1</v>
      </c>
      <c r="Q94" s="70" t="str">
        <f t="shared" si="9"/>
        <v/>
      </c>
      <c r="R94" s="14">
        <f t="shared" si="10"/>
        <v>3600</v>
      </c>
    </row>
    <row r="95" spans="1:18" x14ac:dyDescent="0.2">
      <c r="A95" s="83">
        <f t="shared" si="11"/>
        <v>84</v>
      </c>
      <c r="B95" s="275" t="str">
        <f t="shared" si="11"/>
        <v>CIRS_254TI_M120R2HZ360_ISS</v>
      </c>
      <c r="C95" s="276">
        <f t="shared" si="5"/>
        <v>4000</v>
      </c>
      <c r="D95" s="412" t="str">
        <f>IF($K95&lt;192,"",IF($K95&gt;597,"",IF(VLOOKUP($K95,'CIRS Table Info'!$B$6:$J$425,4,FALSE)="Data",VLOOKUP($K95,'CIRS Table Info'!$B$6:$J$425,3,FALSE),"")))</f>
        <v>No Co-add</v>
      </c>
      <c r="E95" s="413" t="str">
        <f>IF($K95&lt;192,"",IF($K95&gt;597,"",IF(VLOOKUP($K95,'CIRS Table Info'!$B$6:$J$425,5,FALSE)="Data",VLOOKUP($K95,'CIRS Table Info'!$B$6:$J$425,3,FALSE),"")))</f>
        <v>No Co-add</v>
      </c>
      <c r="F95" s="414" t="str">
        <f>IF($K95&lt;192,"",IF($K95&gt;597,"",IF(VLOOKUP($K95,'CIRS Table Info'!$B$6:$J$425,7,FALSE)="Data",VLOOKUP($K95,'CIRS Table Info'!$B$6:$J$425,3,FALSE),"")))</f>
        <v>No Co-add</v>
      </c>
      <c r="G95" s="367">
        <f>IF($K95&lt;192,"",IF($K95&gt;597,"",VLOOKUP($K95,'CIRS Table Info'!$B$6:$J$425,2,FALSE)))</f>
        <v>0.53</v>
      </c>
      <c r="H95" s="412" t="str">
        <f>IF($K95&lt;192,"",IF($K95&gt;597,"",VLOOKUP($K95,'CIRS Table Info'!$B$6:$J$425,6,FALSE)))</f>
        <v>Blink</v>
      </c>
      <c r="I95" s="414" t="str">
        <f>IF($K95&lt;192,"",IF($K95&gt;597,"",VLOOKUP($K95,'CIRS Table Info'!$B$6:$J$425,8,FALSE)))</f>
        <v>Blink</v>
      </c>
      <c r="J95" s="423">
        <f t="shared" si="6"/>
        <v>6.25E-2</v>
      </c>
      <c r="K95" s="141">
        <f t="shared" si="7"/>
        <v>341</v>
      </c>
      <c r="L95" s="468">
        <f>VLOOKUP($B95,'CIRS Table IDs'!$B:$P,15,FALSE)</f>
        <v>1</v>
      </c>
      <c r="M95" s="415">
        <f>IF($K95&lt;192,"",IF($K95&gt;597,"",VLOOKUP($K95,'CIRS Table Info'!$B$6:$K$425,10,FALSE)))</f>
        <v>0.5</v>
      </c>
      <c r="N95" s="456"/>
      <c r="O95" s="278"/>
      <c r="P95" s="83">
        <f t="shared" si="8"/>
        <v>1</v>
      </c>
      <c r="Q95" s="70" t="str">
        <f t="shared" si="9"/>
        <v/>
      </c>
      <c r="R95" s="14">
        <f t="shared" si="10"/>
        <v>3600</v>
      </c>
    </row>
    <row r="96" spans="1:18" x14ac:dyDescent="0.2">
      <c r="A96" s="83">
        <f t="shared" si="11"/>
        <v>91</v>
      </c>
      <c r="B96" s="275" t="str">
        <f t="shared" si="11"/>
        <v>CIRS_255TI_LRMONITOR001_ISS</v>
      </c>
      <c r="C96" s="276" t="str">
        <f t="shared" si="5"/>
        <v>No Co-add</v>
      </c>
      <c r="D96" s="412" t="str">
        <f>IF($K96&lt;192,"",IF($K96&gt;597,"",IF(VLOOKUP($K96,'CIRS Table Info'!$B$6:$J$425,4,FALSE)="Data",VLOOKUP($K96,'CIRS Table Info'!$B$6:$J$425,3,FALSE),"")))</f>
        <v>No Co-add</v>
      </c>
      <c r="E96" s="413" t="str">
        <f>IF($K96&lt;192,"",IF($K96&gt;597,"",IF(VLOOKUP($K96,'CIRS Table Info'!$B$6:$J$425,5,FALSE)="Data",VLOOKUP($K96,'CIRS Table Info'!$B$6:$J$425,3,FALSE),"")))</f>
        <v>No Co-add</v>
      </c>
      <c r="F96" s="414" t="str">
        <f>IF($K96&lt;192,"",IF($K96&gt;597,"",IF(VLOOKUP($K96,'CIRS Table Info'!$B$6:$J$425,7,FALSE)="Data",VLOOKUP($K96,'CIRS Table Info'!$B$6:$J$425,3,FALSE),"")))</f>
        <v>No Co-add</v>
      </c>
      <c r="G96" s="367">
        <f>IF($K96&lt;192,"",IF($K96&gt;597,"",VLOOKUP($K96,'CIRS Table Info'!$B$6:$J$425,2,FALSE)))</f>
        <v>0.53</v>
      </c>
      <c r="H96" s="412" t="str">
        <f>IF($K96&lt;192,"",IF($K96&gt;597,"",VLOOKUP($K96,'CIRS Table Info'!$B$6:$J$425,6,FALSE)))</f>
        <v>Blink</v>
      </c>
      <c r="I96" s="414" t="str">
        <f>IF($K96&lt;192,"",IF($K96&gt;597,"",VLOOKUP($K96,'CIRS Table Info'!$B$6:$J$425,8,FALSE)))</f>
        <v>Blink</v>
      </c>
      <c r="J96" s="423">
        <f t="shared" si="6"/>
        <v>0.20833333333333301</v>
      </c>
      <c r="K96" s="141">
        <f t="shared" si="7"/>
        <v>541</v>
      </c>
      <c r="L96" s="468">
        <f>VLOOKUP($B96,'CIRS Table IDs'!$B:$P,15,FALSE)</f>
        <v>1</v>
      </c>
      <c r="M96" s="415">
        <f>IF($K96&lt;192,"",IF($K96&gt;597,"",VLOOKUP($K96,'CIRS Table Info'!$B$6:$K$425,10,FALSE)))</f>
        <v>4</v>
      </c>
      <c r="N96" s="456"/>
      <c r="O96" s="278"/>
      <c r="P96" s="83">
        <f t="shared" si="8"/>
        <v>1</v>
      </c>
      <c r="Q96" s="70" t="str">
        <f t="shared" si="9"/>
        <v/>
      </c>
      <c r="R96" s="14">
        <f t="shared" si="10"/>
        <v>3600</v>
      </c>
    </row>
    <row r="97" spans="1:18" x14ac:dyDescent="0.2">
      <c r="A97" s="83">
        <f t="shared" si="11"/>
        <v>92</v>
      </c>
      <c r="B97" s="275" t="str">
        <f t="shared" si="11"/>
        <v>CIRS_255TI_LRMONITOR002_ISS</v>
      </c>
      <c r="C97" s="276" t="str">
        <f t="shared" si="5"/>
        <v>No Co-add</v>
      </c>
      <c r="D97" s="412" t="str">
        <f>IF($K97&lt;192,"",IF($K97&gt;597,"",IF(VLOOKUP($K97,'CIRS Table Info'!$B$6:$J$425,4,FALSE)="Data",VLOOKUP($K97,'CIRS Table Info'!$B$6:$J$425,3,FALSE),"")))</f>
        <v>No Co-add</v>
      </c>
      <c r="E97" s="413" t="str">
        <f>IF($K97&lt;192,"",IF($K97&gt;597,"",IF(VLOOKUP($K97,'CIRS Table Info'!$B$6:$J$425,5,FALSE)="Data",VLOOKUP($K97,'CIRS Table Info'!$B$6:$J$425,3,FALSE),"")))</f>
        <v>No Co-add</v>
      </c>
      <c r="F97" s="414" t="str">
        <f>IF($K97&lt;192,"",IF($K97&gt;597,"",IF(VLOOKUP($K97,'CIRS Table Info'!$B$6:$J$425,7,FALSE)="Data",VLOOKUP($K97,'CIRS Table Info'!$B$6:$J$425,3,FALSE),"")))</f>
        <v>No Co-add</v>
      </c>
      <c r="G97" s="367">
        <f>IF($K97&lt;192,"",IF($K97&gt;597,"",VLOOKUP($K97,'CIRS Table Info'!$B$6:$J$425,2,FALSE)))</f>
        <v>0.53</v>
      </c>
      <c r="H97" s="412" t="str">
        <f>IF($K97&lt;192,"",IF($K97&gt;597,"",VLOOKUP($K97,'CIRS Table Info'!$B$6:$J$425,6,FALSE)))</f>
        <v>Blink</v>
      </c>
      <c r="I97" s="414" t="str">
        <f>IF($K97&lt;192,"",IF($K97&gt;597,"",VLOOKUP($K97,'CIRS Table Info'!$B$6:$J$425,8,FALSE)))</f>
        <v>Blink</v>
      </c>
      <c r="J97" s="423">
        <f t="shared" si="6"/>
        <v>0.20833333333333301</v>
      </c>
      <c r="K97" s="141">
        <f t="shared" si="7"/>
        <v>541</v>
      </c>
      <c r="L97" s="468">
        <f>VLOOKUP($B97,'CIRS Table IDs'!$B:$P,15,FALSE)</f>
        <v>1</v>
      </c>
      <c r="M97" s="415">
        <f>IF($K97&lt;192,"",IF($K97&gt;597,"",VLOOKUP($K97,'CIRS Table Info'!$B$6:$K$425,10,FALSE)))</f>
        <v>4</v>
      </c>
      <c r="N97" s="456"/>
      <c r="O97" s="278"/>
      <c r="P97" s="83">
        <f t="shared" si="8"/>
        <v>1</v>
      </c>
      <c r="Q97" s="70" t="str">
        <f t="shared" si="9"/>
        <v/>
      </c>
      <c r="R97" s="14">
        <f t="shared" si="10"/>
        <v>3600</v>
      </c>
    </row>
    <row r="98" spans="1:18" x14ac:dyDescent="0.2">
      <c r="A98" s="83">
        <f t="shared" si="11"/>
        <v>93</v>
      </c>
      <c r="B98" s="275" t="str">
        <f t="shared" si="11"/>
        <v>CIRS_255TI_LRMONITOR003_ISS</v>
      </c>
      <c r="C98" s="276" t="str">
        <f t="shared" si="5"/>
        <v>No Co-add</v>
      </c>
      <c r="D98" s="412" t="str">
        <f>IF($K98&lt;192,"",IF($K98&gt;597,"",IF(VLOOKUP($K98,'CIRS Table Info'!$B$6:$J$425,4,FALSE)="Data",VLOOKUP($K98,'CIRS Table Info'!$B$6:$J$425,3,FALSE),"")))</f>
        <v>No Co-add</v>
      </c>
      <c r="E98" s="413" t="str">
        <f>IF($K98&lt;192,"",IF($K98&gt;597,"",IF(VLOOKUP($K98,'CIRS Table Info'!$B$6:$J$425,5,FALSE)="Data",VLOOKUP($K98,'CIRS Table Info'!$B$6:$J$425,3,FALSE),"")))</f>
        <v>No Co-add</v>
      </c>
      <c r="F98" s="414" t="str">
        <f>IF($K98&lt;192,"",IF($K98&gt;597,"",IF(VLOOKUP($K98,'CIRS Table Info'!$B$6:$J$425,7,FALSE)="Data",VLOOKUP($K98,'CIRS Table Info'!$B$6:$J$425,3,FALSE),"")))</f>
        <v>No Co-add</v>
      </c>
      <c r="G98" s="367">
        <f>IF($K98&lt;192,"",IF($K98&gt;597,"",VLOOKUP($K98,'CIRS Table Info'!$B$6:$J$425,2,FALSE)))</f>
        <v>0.53</v>
      </c>
      <c r="H98" s="412" t="str">
        <f>IF($K98&lt;192,"",IF($K98&gt;597,"",VLOOKUP($K98,'CIRS Table Info'!$B$6:$J$425,6,FALSE)))</f>
        <v>Blink</v>
      </c>
      <c r="I98" s="414" t="str">
        <f>IF($K98&lt;192,"",IF($K98&gt;597,"",VLOOKUP($K98,'CIRS Table Info'!$B$6:$J$425,8,FALSE)))</f>
        <v>Blink</v>
      </c>
      <c r="J98" s="423">
        <f t="shared" si="6"/>
        <v>0.20833333333333301</v>
      </c>
      <c r="K98" s="141">
        <f t="shared" si="7"/>
        <v>541</v>
      </c>
      <c r="L98" s="468">
        <f>VLOOKUP($B98,'CIRS Table IDs'!$B:$P,15,FALSE)</f>
        <v>1</v>
      </c>
      <c r="M98" s="415">
        <f>IF($K98&lt;192,"",IF($K98&gt;597,"",VLOOKUP($K98,'CIRS Table Info'!$B$6:$K$425,10,FALSE)))</f>
        <v>4</v>
      </c>
      <c r="N98" s="456"/>
      <c r="O98" s="278"/>
      <c r="P98" s="83">
        <f t="shared" si="8"/>
        <v>1</v>
      </c>
      <c r="Q98" s="70" t="str">
        <f t="shared" si="9"/>
        <v/>
      </c>
      <c r="R98" s="14">
        <f t="shared" si="10"/>
        <v>3600</v>
      </c>
    </row>
    <row r="99" spans="1:18" x14ac:dyDescent="0.2">
      <c r="A99" s="83">
        <f t="shared" si="11"/>
        <v>94</v>
      </c>
      <c r="B99" s="275" t="str">
        <f t="shared" si="11"/>
        <v>CIRS_255TI_LRMONITOR004_ISS</v>
      </c>
      <c r="C99" s="276" t="str">
        <f t="shared" ref="C99:C115" si="12">IF(L41=1900,"Co-add",IF(L41=3600,"No Co-add",L41))</f>
        <v>No Co-add</v>
      </c>
      <c r="D99" s="412" t="str">
        <f>IF($K99&lt;192,"",IF($K99&gt;597,"",IF(VLOOKUP($K99,'CIRS Table Info'!$B$6:$J$425,4,FALSE)="Data",VLOOKUP($K99,'CIRS Table Info'!$B$6:$J$425,3,FALSE),"")))</f>
        <v>No Co-add</v>
      </c>
      <c r="E99" s="413" t="str">
        <f>IF($K99&lt;192,"",IF($K99&gt;597,"",IF(VLOOKUP($K99,'CIRS Table Info'!$B$6:$J$425,5,FALSE)="Data",VLOOKUP($K99,'CIRS Table Info'!$B$6:$J$425,3,FALSE),"")))</f>
        <v>No Co-add</v>
      </c>
      <c r="F99" s="414" t="str">
        <f>IF($K99&lt;192,"",IF($K99&gt;597,"",IF(VLOOKUP($K99,'CIRS Table Info'!$B$6:$J$425,7,FALSE)="Data",VLOOKUP($K99,'CIRS Table Info'!$B$6:$J$425,3,FALSE),"")))</f>
        <v>No Co-add</v>
      </c>
      <c r="G99" s="367">
        <f>IF($K99&lt;192,"",IF($K99&gt;597,"",VLOOKUP($K99,'CIRS Table Info'!$B$6:$J$425,2,FALSE)))</f>
        <v>0.53</v>
      </c>
      <c r="H99" s="412" t="str">
        <f>IF($K99&lt;192,"",IF($K99&gt;597,"",VLOOKUP($K99,'CIRS Table Info'!$B$6:$J$425,6,FALSE)))</f>
        <v>Blink</v>
      </c>
      <c r="I99" s="414" t="str">
        <f>IF($K99&lt;192,"",IF($K99&gt;597,"",VLOOKUP($K99,'CIRS Table Info'!$B$6:$J$425,8,FALSE)))</f>
        <v>Blink</v>
      </c>
      <c r="J99" s="423">
        <f t="shared" ref="J99:J115" si="13">G41</f>
        <v>0.20833333333333301</v>
      </c>
      <c r="K99" s="141">
        <f t="shared" ref="K99:K115" si="14">VALUE(LEFT(R41,3))</f>
        <v>541</v>
      </c>
      <c r="L99" s="468">
        <f>VLOOKUP($B99,'CIRS Table IDs'!$B:$P,15,FALSE)</f>
        <v>1</v>
      </c>
      <c r="M99" s="415">
        <f>IF($K99&lt;192,"",IF($K99&gt;597,"",VLOOKUP($K99,'CIRS Table Info'!$B$6:$K$425,10,FALSE)))</f>
        <v>4</v>
      </c>
      <c r="N99" s="456"/>
      <c r="O99" s="278"/>
      <c r="P99" s="83">
        <f t="shared" ref="P99:P115" si="15">IF(K99&lt;=597,1,0)</f>
        <v>1</v>
      </c>
      <c r="Q99" s="70" t="str">
        <f t="shared" si="9"/>
        <v/>
      </c>
      <c r="R99" s="14">
        <f t="shared" si="10"/>
        <v>3600</v>
      </c>
    </row>
    <row r="100" spans="1:18" x14ac:dyDescent="0.2">
      <c r="A100" s="83">
        <f t="shared" si="11"/>
        <v>95</v>
      </c>
      <c r="B100" s="275" t="str">
        <f t="shared" si="11"/>
        <v>CIRS_255TI_LRMONITOR005_ISS</v>
      </c>
      <c r="C100" s="276" t="str">
        <f t="shared" si="12"/>
        <v>No Co-add</v>
      </c>
      <c r="D100" s="412" t="str">
        <f>IF($K100&lt;192,"",IF($K100&gt;597,"",IF(VLOOKUP($K100,'CIRS Table Info'!$B$6:$J$425,4,FALSE)="Data",VLOOKUP($K100,'CIRS Table Info'!$B$6:$J$425,3,FALSE),"")))</f>
        <v>No Co-add</v>
      </c>
      <c r="E100" s="413" t="str">
        <f>IF($K100&lt;192,"",IF($K100&gt;597,"",IF(VLOOKUP($K100,'CIRS Table Info'!$B$6:$J$425,5,FALSE)="Data",VLOOKUP($K100,'CIRS Table Info'!$B$6:$J$425,3,FALSE),"")))</f>
        <v>No Co-add</v>
      </c>
      <c r="F100" s="414" t="str">
        <f>IF($K100&lt;192,"",IF($K100&gt;597,"",IF(VLOOKUP($K100,'CIRS Table Info'!$B$6:$J$425,7,FALSE)="Data",VLOOKUP($K100,'CIRS Table Info'!$B$6:$J$425,3,FALSE),"")))</f>
        <v>No Co-add</v>
      </c>
      <c r="G100" s="367">
        <f>IF($K100&lt;192,"",IF($K100&gt;597,"",VLOOKUP($K100,'CIRS Table Info'!$B$6:$J$425,2,FALSE)))</f>
        <v>0.53</v>
      </c>
      <c r="H100" s="412" t="str">
        <f>IF($K100&lt;192,"",IF($K100&gt;597,"",VLOOKUP($K100,'CIRS Table Info'!$B$6:$J$425,6,FALSE)))</f>
        <v>Blink</v>
      </c>
      <c r="I100" s="414" t="str">
        <f>IF($K100&lt;192,"",IF($K100&gt;597,"",VLOOKUP($K100,'CIRS Table Info'!$B$6:$J$425,8,FALSE)))</f>
        <v>Blink</v>
      </c>
      <c r="J100" s="423">
        <f t="shared" si="13"/>
        <v>0.20833333333333301</v>
      </c>
      <c r="K100" s="141">
        <f t="shared" si="14"/>
        <v>541</v>
      </c>
      <c r="L100" s="468">
        <f>VLOOKUP($B100,'CIRS Table IDs'!$B:$P,15,FALSE)</f>
        <v>1</v>
      </c>
      <c r="M100" s="415">
        <f>IF($K100&lt;192,"",IF($K100&gt;597,"",VLOOKUP($K100,'CIRS Table Info'!$B$6:$K$425,10,FALSE)))</f>
        <v>4</v>
      </c>
      <c r="N100" s="456"/>
      <c r="O100" s="278"/>
      <c r="P100" s="83">
        <f t="shared" si="15"/>
        <v>1</v>
      </c>
      <c r="Q100" s="70" t="str">
        <f t="shared" si="9"/>
        <v/>
      </c>
      <c r="R100" s="14">
        <f t="shared" si="10"/>
        <v>3600</v>
      </c>
    </row>
    <row r="101" spans="1:18" x14ac:dyDescent="0.2">
      <c r="A101" s="83">
        <f t="shared" si="11"/>
        <v>96</v>
      </c>
      <c r="B101" s="275" t="str">
        <f t="shared" si="11"/>
        <v>CIRS_255TI_LRMONITOR006_ISS</v>
      </c>
      <c r="C101" s="276" t="str">
        <f t="shared" si="12"/>
        <v>No Co-add</v>
      </c>
      <c r="D101" s="412" t="str">
        <f>IF($K101&lt;192,"",IF($K101&gt;597,"",IF(VLOOKUP($K101,'CIRS Table Info'!$B$6:$J$425,4,FALSE)="Data",VLOOKUP($K101,'CIRS Table Info'!$B$6:$J$425,3,FALSE),"")))</f>
        <v>No Co-add</v>
      </c>
      <c r="E101" s="413" t="str">
        <f>IF($K101&lt;192,"",IF($K101&gt;597,"",IF(VLOOKUP($K101,'CIRS Table Info'!$B$6:$J$425,5,FALSE)="Data",VLOOKUP($K101,'CIRS Table Info'!$B$6:$J$425,3,FALSE),"")))</f>
        <v>No Co-add</v>
      </c>
      <c r="F101" s="414" t="str">
        <f>IF($K101&lt;192,"",IF($K101&gt;597,"",IF(VLOOKUP($K101,'CIRS Table Info'!$B$6:$J$425,7,FALSE)="Data",VLOOKUP($K101,'CIRS Table Info'!$B$6:$J$425,3,FALSE),"")))</f>
        <v>No Co-add</v>
      </c>
      <c r="G101" s="367">
        <f>IF($K101&lt;192,"",IF($K101&gt;597,"",VLOOKUP($K101,'CIRS Table Info'!$B$6:$J$425,2,FALSE)))</f>
        <v>0.53</v>
      </c>
      <c r="H101" s="412" t="str">
        <f>IF($K101&lt;192,"",IF($K101&gt;597,"",VLOOKUP($K101,'CIRS Table Info'!$B$6:$J$425,6,FALSE)))</f>
        <v>Blink</v>
      </c>
      <c r="I101" s="414" t="str">
        <f>IF($K101&lt;192,"",IF($K101&gt;597,"",VLOOKUP($K101,'CIRS Table Info'!$B$6:$J$425,8,FALSE)))</f>
        <v>Blink</v>
      </c>
      <c r="J101" s="423">
        <f t="shared" si="13"/>
        <v>3.54166666666667E-2</v>
      </c>
      <c r="K101" s="141">
        <f t="shared" si="14"/>
        <v>541</v>
      </c>
      <c r="L101" s="468">
        <f>VLOOKUP($B101,'CIRS Table IDs'!$B:$P,15,FALSE)</f>
        <v>1</v>
      </c>
      <c r="M101" s="415">
        <f>IF($K101&lt;192,"",IF($K101&gt;597,"",VLOOKUP($K101,'CIRS Table Info'!$B$6:$K$425,10,FALSE)))</f>
        <v>4</v>
      </c>
      <c r="N101" s="456"/>
      <c r="O101" s="278"/>
      <c r="P101" s="83">
        <f t="shared" si="15"/>
        <v>1</v>
      </c>
      <c r="Q101" s="70" t="str">
        <f t="shared" si="9"/>
        <v/>
      </c>
      <c r="R101" s="14">
        <f t="shared" si="10"/>
        <v>3600</v>
      </c>
    </row>
    <row r="102" spans="1:18" x14ac:dyDescent="0.2">
      <c r="A102" s="83">
        <f t="shared" si="11"/>
        <v>129</v>
      </c>
      <c r="B102" s="275" t="str">
        <f t="shared" si="11"/>
        <v>CIRS_256TI_M150R2HZ010_ISS</v>
      </c>
      <c r="C102" s="276">
        <f t="shared" si="12"/>
        <v>4000</v>
      </c>
      <c r="D102" s="412" t="str">
        <f>IF($K102&lt;192,"",IF($K102&gt;597,"",IF(VLOOKUP($K102,'CIRS Table Info'!$B$6:$J$425,4,FALSE)="Data",VLOOKUP($K102,'CIRS Table Info'!$B$6:$J$425,3,FALSE),"")))</f>
        <v>No Co-add</v>
      </c>
      <c r="E102" s="413" t="str">
        <f>IF($K102&lt;192,"",IF($K102&gt;597,"",IF(VLOOKUP($K102,'CIRS Table Info'!$B$6:$J$425,5,FALSE)="Data",VLOOKUP($K102,'CIRS Table Info'!$B$6:$J$425,3,FALSE),"")))</f>
        <v>No Co-add</v>
      </c>
      <c r="F102" s="414" t="str">
        <f>IF($K102&lt;192,"",IF($K102&gt;597,"",IF(VLOOKUP($K102,'CIRS Table Info'!$B$6:$J$425,7,FALSE)="Data",VLOOKUP($K102,'CIRS Table Info'!$B$6:$J$425,3,FALSE),"")))</f>
        <v>No Co-add</v>
      </c>
      <c r="G102" s="367">
        <f>IF($K102&lt;192,"",IF($K102&gt;597,"",VLOOKUP($K102,'CIRS Table Info'!$B$6:$J$425,2,FALSE)))</f>
        <v>0.53</v>
      </c>
      <c r="H102" s="412" t="str">
        <f>IF($K102&lt;192,"",IF($K102&gt;597,"",VLOOKUP($K102,'CIRS Table Info'!$B$6:$J$425,6,FALSE)))</f>
        <v>Blink</v>
      </c>
      <c r="I102" s="414" t="str">
        <f>IF($K102&lt;192,"",IF($K102&gt;597,"",VLOOKUP($K102,'CIRS Table Info'!$B$6:$J$425,8,FALSE)))</f>
        <v>Blink</v>
      </c>
      <c r="J102" s="423">
        <f t="shared" si="13"/>
        <v>6.25E-2</v>
      </c>
      <c r="K102" s="141">
        <f t="shared" si="14"/>
        <v>341</v>
      </c>
      <c r="L102" s="468">
        <f>VLOOKUP($B102,'CIRS Table IDs'!$B:$P,15,FALSE)</f>
        <v>1</v>
      </c>
      <c r="M102" s="415">
        <f>IF($K102&lt;192,"",IF($K102&gt;597,"",VLOOKUP($K102,'CIRS Table Info'!$B$6:$K$425,10,FALSE)))</f>
        <v>0.5</v>
      </c>
      <c r="N102" s="456"/>
      <c r="O102" s="278"/>
      <c r="P102" s="83">
        <f t="shared" si="15"/>
        <v>1</v>
      </c>
      <c r="Q102" s="70" t="str">
        <f t="shared" si="9"/>
        <v/>
      </c>
      <c r="R102" s="14">
        <f t="shared" si="10"/>
        <v>3600</v>
      </c>
    </row>
    <row r="103" spans="1:18" x14ac:dyDescent="0.2">
      <c r="A103" s="83">
        <f t="shared" si="11"/>
        <v>132</v>
      </c>
      <c r="B103" s="275" t="str">
        <f t="shared" si="11"/>
        <v>CIRS_256TI_M120R2HZ011_ISS</v>
      </c>
      <c r="C103" s="276">
        <f t="shared" si="12"/>
        <v>4000</v>
      </c>
      <c r="D103" s="412" t="str">
        <f>IF($K103&lt;192,"",IF($K103&gt;597,"",IF(VLOOKUP($K103,'CIRS Table Info'!$B$6:$J$425,4,FALSE)="Data",VLOOKUP($K103,'CIRS Table Info'!$B$6:$J$425,3,FALSE),"")))</f>
        <v>No Co-add</v>
      </c>
      <c r="E103" s="413" t="str">
        <f>IF($K103&lt;192,"",IF($K103&gt;597,"",IF(VLOOKUP($K103,'CIRS Table Info'!$B$6:$J$425,5,FALSE)="Data",VLOOKUP($K103,'CIRS Table Info'!$B$6:$J$425,3,FALSE),"")))</f>
        <v>No Co-add</v>
      </c>
      <c r="F103" s="414" t="str">
        <f>IF($K103&lt;192,"",IF($K103&gt;597,"",IF(VLOOKUP($K103,'CIRS Table Info'!$B$6:$J$425,7,FALSE)="Data",VLOOKUP($K103,'CIRS Table Info'!$B$6:$J$425,3,FALSE),"")))</f>
        <v>No Co-add</v>
      </c>
      <c r="G103" s="367">
        <f>IF($K103&lt;192,"",IF($K103&gt;597,"",VLOOKUP($K103,'CIRS Table Info'!$B$6:$J$425,2,FALSE)))</f>
        <v>0.53</v>
      </c>
      <c r="H103" s="412" t="str">
        <f>IF($K103&lt;192,"",IF($K103&gt;597,"",VLOOKUP($K103,'CIRS Table Info'!$B$6:$J$425,6,FALSE)))</f>
        <v>Blink</v>
      </c>
      <c r="I103" s="414" t="str">
        <f>IF($K103&lt;192,"",IF($K103&gt;597,"",VLOOKUP($K103,'CIRS Table Info'!$B$6:$J$425,8,FALSE)))</f>
        <v>Blink</v>
      </c>
      <c r="J103" s="423">
        <f t="shared" si="13"/>
        <v>6.25E-2</v>
      </c>
      <c r="K103" s="141">
        <f t="shared" si="14"/>
        <v>341</v>
      </c>
      <c r="L103" s="468">
        <f>VLOOKUP($B103,'CIRS Table IDs'!$B:$P,15,FALSE)</f>
        <v>1</v>
      </c>
      <c r="M103" s="415">
        <f>IF($K103&lt;192,"",IF($K103&gt;597,"",VLOOKUP($K103,'CIRS Table Info'!$B$6:$K$425,10,FALSE)))</f>
        <v>0.5</v>
      </c>
      <c r="N103" s="456"/>
      <c r="O103" s="278"/>
      <c r="P103" s="83">
        <f t="shared" si="15"/>
        <v>1</v>
      </c>
      <c r="Q103" s="70" t="str">
        <f t="shared" si="9"/>
        <v/>
      </c>
      <c r="R103" s="14">
        <f t="shared" si="10"/>
        <v>3600</v>
      </c>
    </row>
    <row r="104" spans="1:18" x14ac:dyDescent="0.2">
      <c r="A104" s="83">
        <f t="shared" si="11"/>
        <v>135</v>
      </c>
      <c r="B104" s="275" t="str">
        <f t="shared" si="11"/>
        <v>CIRS_257TI_M120R2HZ013_ISS</v>
      </c>
      <c r="C104" s="276">
        <f t="shared" si="12"/>
        <v>4000</v>
      </c>
      <c r="D104" s="412" t="str">
        <f>IF($K104&lt;192,"",IF($K104&gt;597,"",IF(VLOOKUP($K104,'CIRS Table Info'!$B$6:$J$425,4,FALSE)="Data",VLOOKUP($K104,'CIRS Table Info'!$B$6:$J$425,3,FALSE),"")))</f>
        <v>No Co-add</v>
      </c>
      <c r="E104" s="413" t="str">
        <f>IF($K104&lt;192,"",IF($K104&gt;597,"",IF(VLOOKUP($K104,'CIRS Table Info'!$B$6:$J$425,5,FALSE)="Data",VLOOKUP($K104,'CIRS Table Info'!$B$6:$J$425,3,FALSE),"")))</f>
        <v>No Co-add</v>
      </c>
      <c r="F104" s="414" t="str">
        <f>IF($K104&lt;192,"",IF($K104&gt;597,"",IF(VLOOKUP($K104,'CIRS Table Info'!$B$6:$J$425,7,FALSE)="Data",VLOOKUP($K104,'CIRS Table Info'!$B$6:$J$425,3,FALSE),"")))</f>
        <v>No Co-add</v>
      </c>
      <c r="G104" s="367">
        <f>IF($K104&lt;192,"",IF($K104&gt;597,"",VLOOKUP($K104,'CIRS Table Info'!$B$6:$J$425,2,FALSE)))</f>
        <v>0.53</v>
      </c>
      <c r="H104" s="412" t="str">
        <f>IF($K104&lt;192,"",IF($K104&gt;597,"",VLOOKUP($K104,'CIRS Table Info'!$B$6:$J$425,6,FALSE)))</f>
        <v>Blink</v>
      </c>
      <c r="I104" s="414" t="str">
        <f>IF($K104&lt;192,"",IF($K104&gt;597,"",VLOOKUP($K104,'CIRS Table Info'!$B$6:$J$425,8,FALSE)))</f>
        <v>Blink</v>
      </c>
      <c r="J104" s="423">
        <f t="shared" si="13"/>
        <v>6.25E-2</v>
      </c>
      <c r="K104" s="141">
        <f t="shared" si="14"/>
        <v>341</v>
      </c>
      <c r="L104" s="468">
        <f>VLOOKUP($B104,'CIRS Table IDs'!$B:$P,15,FALSE)</f>
        <v>1</v>
      </c>
      <c r="M104" s="415">
        <f>IF($K104&lt;192,"",IF($K104&gt;597,"",VLOOKUP($K104,'CIRS Table Info'!$B$6:$K$425,10,FALSE)))</f>
        <v>0.5</v>
      </c>
      <c r="N104" s="456"/>
      <c r="O104" s="278"/>
      <c r="P104" s="83">
        <f t="shared" si="15"/>
        <v>1</v>
      </c>
      <c r="Q104" s="70" t="str">
        <f t="shared" si="9"/>
        <v/>
      </c>
      <c r="R104" s="14">
        <f t="shared" si="10"/>
        <v>3600</v>
      </c>
    </row>
    <row r="105" spans="1:18" x14ac:dyDescent="0.2">
      <c r="A105" s="83">
        <f t="shared" si="11"/>
        <v>169</v>
      </c>
      <c r="B105" s="275" t="str">
        <f t="shared" si="11"/>
        <v>CIRS_259TI_M90R2CLD029_ISS</v>
      </c>
      <c r="C105" s="276">
        <f t="shared" si="12"/>
        <v>4000</v>
      </c>
      <c r="D105" s="412" t="str">
        <f>IF($K105&lt;192,"",IF($K105&gt;597,"",IF(VLOOKUP($K105,'CIRS Table Info'!$B$6:$J$425,4,FALSE)="Data",VLOOKUP($K105,'CIRS Table Info'!$B$6:$J$425,3,FALSE),"")))</f>
        <v>No Co-add</v>
      </c>
      <c r="E105" s="413" t="str">
        <f>IF($K105&lt;192,"",IF($K105&gt;597,"",IF(VLOOKUP($K105,'CIRS Table Info'!$B$6:$J$425,5,FALSE)="Data",VLOOKUP($K105,'CIRS Table Info'!$B$6:$J$425,3,FALSE),"")))</f>
        <v>No Co-add</v>
      </c>
      <c r="F105" s="414" t="str">
        <f>IF($K105&lt;192,"",IF($K105&gt;597,"",IF(VLOOKUP($K105,'CIRS Table Info'!$B$6:$J$425,7,FALSE)="Data",VLOOKUP($K105,'CIRS Table Info'!$B$6:$J$425,3,FALSE),"")))</f>
        <v>No Co-add</v>
      </c>
      <c r="G105" s="367">
        <f>IF($K105&lt;192,"",IF($K105&gt;597,"",VLOOKUP($K105,'CIRS Table Info'!$B$6:$J$425,2,FALSE)))</f>
        <v>0.53</v>
      </c>
      <c r="H105" s="412" t="str">
        <f>IF($K105&lt;192,"",IF($K105&gt;597,"",VLOOKUP($K105,'CIRS Table Info'!$B$6:$J$425,6,FALSE)))</f>
        <v>Blink</v>
      </c>
      <c r="I105" s="414" t="str">
        <f>IF($K105&lt;192,"",IF($K105&gt;597,"",VLOOKUP($K105,'CIRS Table Info'!$B$6:$J$425,8,FALSE)))</f>
        <v>Blink</v>
      </c>
      <c r="J105" s="423">
        <f t="shared" si="13"/>
        <v>6.25E-2</v>
      </c>
      <c r="K105" s="141">
        <f t="shared" si="14"/>
        <v>341</v>
      </c>
      <c r="L105" s="468">
        <f>VLOOKUP($B105,'CIRS Table IDs'!$B:$P,15,FALSE)</f>
        <v>1</v>
      </c>
      <c r="M105" s="415">
        <f>IF($K105&lt;192,"",IF($K105&gt;597,"",VLOOKUP($K105,'CIRS Table Info'!$B$6:$K$425,10,FALSE)))</f>
        <v>0.5</v>
      </c>
      <c r="N105" s="456"/>
      <c r="O105" s="278"/>
      <c r="P105" s="83">
        <f t="shared" si="15"/>
        <v>1</v>
      </c>
      <c r="Q105" s="70" t="str">
        <f t="shared" si="9"/>
        <v/>
      </c>
      <c r="R105" s="14">
        <f t="shared" si="10"/>
        <v>3600</v>
      </c>
    </row>
    <row r="106" spans="1:18" x14ac:dyDescent="0.2">
      <c r="A106" s="83">
        <f t="shared" si="11"/>
        <v>181</v>
      </c>
      <c r="B106" s="275" t="str">
        <f t="shared" si="11"/>
        <v>CIRS_259TI_LRMONITOR001_ISS</v>
      </c>
      <c r="C106" s="276">
        <f t="shared" si="12"/>
        <v>4000</v>
      </c>
      <c r="D106" s="412" t="str">
        <f>IF($K106&lt;192,"",IF($K106&gt;597,"",IF(VLOOKUP($K106,'CIRS Table Info'!$B$6:$J$425,4,FALSE)="Data",VLOOKUP($K106,'CIRS Table Info'!$B$6:$J$425,3,FALSE),"")))</f>
        <v>No Co-add</v>
      </c>
      <c r="E106" s="413" t="str">
        <f>IF($K106&lt;192,"",IF($K106&gt;597,"",IF(VLOOKUP($K106,'CIRS Table Info'!$B$6:$J$425,5,FALSE)="Data",VLOOKUP($K106,'CIRS Table Info'!$B$6:$J$425,3,FALSE),"")))</f>
        <v>No Co-add</v>
      </c>
      <c r="F106" s="414" t="str">
        <f>IF($K106&lt;192,"",IF($K106&gt;597,"",IF(VLOOKUP($K106,'CIRS Table Info'!$B$6:$J$425,7,FALSE)="Data",VLOOKUP($K106,'CIRS Table Info'!$B$6:$J$425,3,FALSE),"")))</f>
        <v>No Co-add</v>
      </c>
      <c r="G106" s="367">
        <f>IF($K106&lt;192,"",IF($K106&gt;597,"",VLOOKUP($K106,'CIRS Table Info'!$B$6:$J$425,2,FALSE)))</f>
        <v>0.53</v>
      </c>
      <c r="H106" s="412" t="str">
        <f>IF($K106&lt;192,"",IF($K106&gt;597,"",VLOOKUP($K106,'CIRS Table Info'!$B$6:$J$425,6,FALSE)))</f>
        <v>Blink</v>
      </c>
      <c r="I106" s="414" t="str">
        <f>IF($K106&lt;192,"",IF($K106&gt;597,"",VLOOKUP($K106,'CIRS Table Info'!$B$6:$J$425,8,FALSE)))</f>
        <v>Blink</v>
      </c>
      <c r="J106" s="423">
        <f t="shared" si="13"/>
        <v>4.1666666666666699E-2</v>
      </c>
      <c r="K106" s="141">
        <f t="shared" si="14"/>
        <v>491</v>
      </c>
      <c r="L106" s="468">
        <f>VLOOKUP($B106,'CIRS Table IDs'!$B:$P,15,FALSE)</f>
        <v>1</v>
      </c>
      <c r="M106" s="415">
        <f>IF($K106&lt;192,"",IF($K106&gt;597,"",VLOOKUP($K106,'CIRS Table Info'!$B$6:$K$425,10,FALSE)))</f>
        <v>3</v>
      </c>
      <c r="N106" s="456"/>
      <c r="O106" s="278"/>
      <c r="P106" s="83">
        <f t="shared" si="15"/>
        <v>1</v>
      </c>
      <c r="Q106" s="70" t="str">
        <f t="shared" si="9"/>
        <v/>
      </c>
      <c r="R106" s="14">
        <f t="shared" si="10"/>
        <v>3600</v>
      </c>
    </row>
    <row r="107" spans="1:18" x14ac:dyDescent="0.2">
      <c r="A107" s="83">
        <f t="shared" ref="A107:B115" si="16">A49</f>
        <v>182</v>
      </c>
      <c r="B107" s="275" t="str">
        <f t="shared" si="16"/>
        <v>CIRS_259TI_MIDIRTMAP001_PRIME</v>
      </c>
      <c r="C107" s="276" t="str">
        <f t="shared" si="12"/>
        <v>No Co-add</v>
      </c>
      <c r="D107" s="412" t="str">
        <f>IF($K107&lt;192,"",IF($K107&gt;597,"",IF(VLOOKUP($K107,'CIRS Table Info'!$B$6:$J$425,4,FALSE)="Data",VLOOKUP($K107,'CIRS Table Info'!$B$6:$J$425,3,FALSE),"")))</f>
        <v>No Co-add</v>
      </c>
      <c r="E107" s="413" t="str">
        <f>IF($K107&lt;192,"",IF($K107&gt;597,"",IF(VLOOKUP($K107,'CIRS Table Info'!$B$6:$J$425,5,FALSE)="Data",VLOOKUP($K107,'CIRS Table Info'!$B$6:$J$425,3,FALSE),"")))</f>
        <v>No Co-add</v>
      </c>
      <c r="F107" s="414" t="str">
        <f>IF($K107&lt;192,"",IF($K107&gt;597,"",IF(VLOOKUP($K107,'CIRS Table Info'!$B$6:$J$425,7,FALSE)="Data",VLOOKUP($K107,'CIRS Table Info'!$B$6:$J$425,3,FALSE),"")))</f>
        <v>No Co-add</v>
      </c>
      <c r="G107" s="367">
        <f>IF($K107&lt;192,"",IF($K107&gt;597,"",VLOOKUP($K107,'CIRS Table Info'!$B$6:$J$425,2,FALSE)))</f>
        <v>2.85</v>
      </c>
      <c r="H107" s="412" t="str">
        <f>IF($K107&lt;192,"",IF($K107&gt;597,"",VLOOKUP($K107,'CIRS Table Info'!$B$6:$J$425,6,FALSE)))</f>
        <v>Blink</v>
      </c>
      <c r="I107" s="414" t="str">
        <f>IF($K107&lt;192,"",IF($K107&gt;597,"",VLOOKUP($K107,'CIRS Table Info'!$B$6:$J$425,8,FALSE)))</f>
        <v>Blink</v>
      </c>
      <c r="J107" s="423">
        <f t="shared" si="13"/>
        <v>0.15763888888888899</v>
      </c>
      <c r="K107" s="141">
        <f t="shared" si="14"/>
        <v>467</v>
      </c>
      <c r="L107" s="468">
        <f>VLOOKUP($B107,'CIRS Table IDs'!$B:$P,15,FALSE)</f>
        <v>2</v>
      </c>
      <c r="M107" s="415">
        <f>IF($K107&lt;192,"",IF($K107&gt;597,"",VLOOKUP($K107,'CIRS Table Info'!$B$6:$K$425,10,FALSE)))</f>
        <v>3</v>
      </c>
      <c r="N107" s="456"/>
      <c r="O107" s="278"/>
      <c r="P107" s="83">
        <f t="shared" si="15"/>
        <v>1</v>
      </c>
      <c r="Q107" s="70" t="str">
        <f t="shared" si="9"/>
        <v/>
      </c>
      <c r="R107" s="14">
        <f t="shared" si="10"/>
        <v>3600</v>
      </c>
    </row>
    <row r="108" spans="1:18" x14ac:dyDescent="0.2">
      <c r="A108" s="83">
        <f t="shared" si="16"/>
        <v>183</v>
      </c>
      <c r="B108" s="275" t="str">
        <f t="shared" si="16"/>
        <v>CIRS_259TI_CLOUD001_ISS</v>
      </c>
      <c r="C108" s="276">
        <f t="shared" si="12"/>
        <v>4000</v>
      </c>
      <c r="D108" s="412" t="str">
        <f>IF($K108&lt;192,"",IF($K108&gt;597,"",IF(VLOOKUP($K108,'CIRS Table Info'!$B$6:$J$425,4,FALSE)="Data",VLOOKUP($K108,'CIRS Table Info'!$B$6:$J$425,3,FALSE),"")))</f>
        <v>No Co-add</v>
      </c>
      <c r="E108" s="413" t="str">
        <f>IF($K108&lt;192,"",IF($K108&gt;597,"",IF(VLOOKUP($K108,'CIRS Table Info'!$B$6:$J$425,5,FALSE)="Data",VLOOKUP($K108,'CIRS Table Info'!$B$6:$J$425,3,FALSE),"")))</f>
        <v>No Co-add</v>
      </c>
      <c r="F108" s="414" t="str">
        <f>IF($K108&lt;192,"",IF($K108&gt;597,"",IF(VLOOKUP($K108,'CIRS Table Info'!$B$6:$J$425,7,FALSE)="Data",VLOOKUP($K108,'CIRS Table Info'!$B$6:$J$425,3,FALSE),"")))</f>
        <v>No Co-add</v>
      </c>
      <c r="G108" s="367">
        <f>IF($K108&lt;192,"",IF($K108&gt;597,"",VLOOKUP($K108,'CIRS Table Info'!$B$6:$J$425,2,FALSE)))</f>
        <v>0.53</v>
      </c>
      <c r="H108" s="412" t="str">
        <f>IF($K108&lt;192,"",IF($K108&gt;597,"",VLOOKUP($K108,'CIRS Table Info'!$B$6:$J$425,6,FALSE)))</f>
        <v>Blink</v>
      </c>
      <c r="I108" s="414" t="str">
        <f>IF($K108&lt;192,"",IF($K108&gt;597,"",VLOOKUP($K108,'CIRS Table Info'!$B$6:$J$425,8,FALSE)))</f>
        <v>Blink</v>
      </c>
      <c r="J108" s="423">
        <f t="shared" si="13"/>
        <v>4.1666666666666699E-2</v>
      </c>
      <c r="K108" s="141">
        <f t="shared" si="14"/>
        <v>491</v>
      </c>
      <c r="L108" s="468">
        <f>VLOOKUP($B108,'CIRS Table IDs'!$B:$P,15,FALSE)</f>
        <v>1</v>
      </c>
      <c r="M108" s="415">
        <f>IF($K108&lt;192,"",IF($K108&gt;597,"",VLOOKUP($K108,'CIRS Table Info'!$B$6:$K$425,10,FALSE)))</f>
        <v>3</v>
      </c>
      <c r="N108" s="456"/>
      <c r="O108" s="278"/>
      <c r="P108" s="83">
        <f t="shared" si="15"/>
        <v>1</v>
      </c>
      <c r="Q108" s="70" t="str">
        <f t="shared" si="9"/>
        <v/>
      </c>
      <c r="R108" s="14">
        <f t="shared" si="10"/>
        <v>3600</v>
      </c>
    </row>
    <row r="109" spans="1:18" x14ac:dyDescent="0.2">
      <c r="A109" s="83">
        <f t="shared" si="16"/>
        <v>184</v>
      </c>
      <c r="B109" s="275" t="str">
        <f t="shared" si="16"/>
        <v>CIRS_259TI_COMPMAP001_PIE</v>
      </c>
      <c r="C109" s="276">
        <f t="shared" si="12"/>
        <v>4000</v>
      </c>
      <c r="D109" s="412" t="str">
        <f>IF($K109&lt;192,"",IF($K109&gt;597,"",IF(VLOOKUP($K109,'CIRS Table Info'!$B$6:$J$425,4,FALSE)="Data",VLOOKUP($K109,'CIRS Table Info'!$B$6:$J$425,3,FALSE),"")))</f>
        <v>No Co-add</v>
      </c>
      <c r="E109" s="413" t="str">
        <f>IF($K109&lt;192,"",IF($K109&gt;597,"",IF(VLOOKUP($K109,'CIRS Table Info'!$B$6:$J$425,5,FALSE)="Data",VLOOKUP($K109,'CIRS Table Info'!$B$6:$J$425,3,FALSE),"")))</f>
        <v>No Co-add</v>
      </c>
      <c r="F109" s="414" t="str">
        <f>IF($K109&lt;192,"",IF($K109&gt;597,"",IF(VLOOKUP($K109,'CIRS Table Info'!$B$6:$J$425,7,FALSE)="Data",VLOOKUP($K109,'CIRS Table Info'!$B$6:$J$425,3,FALSE),"")))</f>
        <v>No Co-add</v>
      </c>
      <c r="G109" s="367">
        <f>IF($K109&lt;192,"",IF($K109&gt;597,"",VLOOKUP($K109,'CIRS Table Info'!$B$6:$J$425,2,FALSE)))</f>
        <v>0.53</v>
      </c>
      <c r="H109" s="412" t="str">
        <f>IF($K109&lt;192,"",IF($K109&gt;597,"",VLOOKUP($K109,'CIRS Table Info'!$B$6:$J$425,6,FALSE)))</f>
        <v>Blink</v>
      </c>
      <c r="I109" s="414" t="str">
        <f>IF($K109&lt;192,"",IF($K109&gt;597,"",VLOOKUP($K109,'CIRS Table Info'!$B$6:$J$425,8,FALSE)))</f>
        <v>Blink</v>
      </c>
      <c r="J109" s="423">
        <f t="shared" si="13"/>
        <v>0.21875</v>
      </c>
      <c r="K109" s="141">
        <f t="shared" si="14"/>
        <v>591</v>
      </c>
      <c r="L109" s="468">
        <f>VLOOKUP($B109,'CIRS Table IDs'!$B:$P,15,FALSE)</f>
        <v>1</v>
      </c>
      <c r="M109" s="415">
        <f>IF($K109&lt;192,"",IF($K109&gt;597,"",VLOOKUP($K109,'CIRS Table Info'!$B$6:$K$425,10,FALSE)))</f>
        <v>5</v>
      </c>
      <c r="N109" s="456"/>
      <c r="O109" s="278"/>
      <c r="P109" s="83">
        <f t="shared" si="15"/>
        <v>1</v>
      </c>
      <c r="Q109" s="70" t="str">
        <f t="shared" si="9"/>
        <v/>
      </c>
      <c r="R109" s="14">
        <f t="shared" si="10"/>
        <v>3600</v>
      </c>
    </row>
    <row r="110" spans="1:18" x14ac:dyDescent="0.2">
      <c r="A110" s="83">
        <f t="shared" si="16"/>
        <v>185</v>
      </c>
      <c r="B110" s="275" t="str">
        <f t="shared" si="16"/>
        <v>CIRS_259TI_CLOUD002_ISS</v>
      </c>
      <c r="C110" s="276">
        <f t="shared" si="12"/>
        <v>4000</v>
      </c>
      <c r="D110" s="412" t="str">
        <f>IF($K110&lt;192,"",IF($K110&gt;597,"",IF(VLOOKUP($K110,'CIRS Table Info'!$B$6:$J$425,4,FALSE)="Data",VLOOKUP($K110,'CIRS Table Info'!$B$6:$J$425,3,FALSE),"")))</f>
        <v>No Co-add</v>
      </c>
      <c r="E110" s="413" t="str">
        <f>IF($K110&lt;192,"",IF($K110&gt;597,"",IF(VLOOKUP($K110,'CIRS Table Info'!$B$6:$J$425,5,FALSE)="Data",VLOOKUP($K110,'CIRS Table Info'!$B$6:$J$425,3,FALSE),"")))</f>
        <v>No Co-add</v>
      </c>
      <c r="F110" s="414" t="str">
        <f>IF($K110&lt;192,"",IF($K110&gt;597,"",IF(VLOOKUP($K110,'CIRS Table Info'!$B$6:$J$425,7,FALSE)="Data",VLOOKUP($K110,'CIRS Table Info'!$B$6:$J$425,3,FALSE),"")))</f>
        <v>No Co-add</v>
      </c>
      <c r="G110" s="367">
        <f>IF($K110&lt;192,"",IF($K110&gt;597,"",VLOOKUP($K110,'CIRS Table Info'!$B$6:$J$425,2,FALSE)))</f>
        <v>0.53</v>
      </c>
      <c r="H110" s="412" t="str">
        <f>IF($K110&lt;192,"",IF($K110&gt;597,"",VLOOKUP($K110,'CIRS Table Info'!$B$6:$J$425,6,FALSE)))</f>
        <v>Blink</v>
      </c>
      <c r="I110" s="414" t="str">
        <f>IF($K110&lt;192,"",IF($K110&gt;597,"",VLOOKUP($K110,'CIRS Table Info'!$B$6:$J$425,8,FALSE)))</f>
        <v>Blink</v>
      </c>
      <c r="J110" s="423">
        <f t="shared" si="13"/>
        <v>4.1666666666666699E-2</v>
      </c>
      <c r="K110" s="141">
        <f t="shared" si="14"/>
        <v>491</v>
      </c>
      <c r="L110" s="468">
        <f>VLOOKUP($B110,'CIRS Table IDs'!$B:$P,15,FALSE)</f>
        <v>1</v>
      </c>
      <c r="M110" s="415">
        <f>IF($K110&lt;192,"",IF($K110&gt;597,"",VLOOKUP($K110,'CIRS Table Info'!$B$6:$K$425,10,FALSE)))</f>
        <v>3</v>
      </c>
      <c r="N110" s="456"/>
      <c r="O110" s="278"/>
      <c r="P110" s="83">
        <f t="shared" si="15"/>
        <v>1</v>
      </c>
      <c r="Q110" s="70" t="str">
        <f t="shared" si="9"/>
        <v/>
      </c>
      <c r="R110" s="14">
        <f t="shared" si="10"/>
        <v>3600</v>
      </c>
    </row>
    <row r="111" spans="1:18" x14ac:dyDescent="0.2">
      <c r="A111" s="83">
        <f t="shared" si="16"/>
        <v>186</v>
      </c>
      <c r="B111" s="275" t="str">
        <f t="shared" si="16"/>
        <v>CIRS_259TI_MIRLMBMAP002_PRIME</v>
      </c>
      <c r="C111" s="276" t="str">
        <f t="shared" si="12"/>
        <v>No Co-add</v>
      </c>
      <c r="D111" s="412" t="str">
        <f>IF($K111&lt;192,"",IF($K111&gt;597,"",IF(VLOOKUP($K111,'CIRS Table Info'!$B$6:$J$425,4,FALSE)="Data",VLOOKUP($K111,'CIRS Table Info'!$B$6:$J$425,3,FALSE),"")))</f>
        <v>No Co-add</v>
      </c>
      <c r="E111" s="413" t="str">
        <f>IF($K111&lt;192,"",IF($K111&gt;597,"",IF(VLOOKUP($K111,'CIRS Table Info'!$B$6:$J$425,5,FALSE)="Data",VLOOKUP($K111,'CIRS Table Info'!$B$6:$J$425,3,FALSE),"")))</f>
        <v>No Co-add</v>
      </c>
      <c r="F111" s="414" t="str">
        <f>IF($K111&lt;192,"",IF($K111&gt;597,"",IF(VLOOKUP($K111,'CIRS Table Info'!$B$6:$J$425,7,FALSE)="Data",VLOOKUP($K111,'CIRS Table Info'!$B$6:$J$425,3,FALSE),"")))</f>
        <v>No Co-add</v>
      </c>
      <c r="G111" s="367">
        <f>IF($K111&lt;192,"",IF($K111&gt;597,"",VLOOKUP($K111,'CIRS Table Info'!$B$6:$J$425,2,FALSE)))</f>
        <v>15.67</v>
      </c>
      <c r="H111" s="412" t="str">
        <f>IF($K111&lt;192,"",IF($K111&gt;597,"",VLOOKUP($K111,'CIRS Table Info'!$B$6:$J$425,6,FALSE)))</f>
        <v>Blink</v>
      </c>
      <c r="I111" s="414" t="str">
        <f>IF($K111&lt;192,"",IF($K111&gt;597,"",VLOOKUP($K111,'CIRS Table Info'!$B$6:$J$425,8,FALSE)))</f>
        <v>Blink</v>
      </c>
      <c r="J111" s="423">
        <f t="shared" si="13"/>
        <v>0.21875</v>
      </c>
      <c r="K111" s="141">
        <f t="shared" si="14"/>
        <v>505</v>
      </c>
      <c r="L111" s="468">
        <f>VLOOKUP($B111,'CIRS Table IDs'!$B:$P,15,FALSE)</f>
        <v>1</v>
      </c>
      <c r="M111" s="415">
        <f>IF($K111&lt;192,"",IF($K111&gt;597,"",VLOOKUP($K111,'CIRS Table Info'!$B$6:$K$425,10,FALSE)))</f>
        <v>4</v>
      </c>
      <c r="N111" s="456"/>
      <c r="O111" s="278"/>
      <c r="P111" s="83">
        <f t="shared" si="15"/>
        <v>1</v>
      </c>
      <c r="Q111" s="70" t="str">
        <f t="shared" si="9"/>
        <v/>
      </c>
      <c r="R111" s="14">
        <f t="shared" si="10"/>
        <v>3600</v>
      </c>
    </row>
    <row r="112" spans="1:18" x14ac:dyDescent="0.2">
      <c r="A112" s="83">
        <f t="shared" si="16"/>
        <v>187</v>
      </c>
      <c r="B112" s="275" t="str">
        <f t="shared" si="16"/>
        <v>CIRS_259TI_CLOUD003_ISS</v>
      </c>
      <c r="C112" s="276">
        <f t="shared" si="12"/>
        <v>4000</v>
      </c>
      <c r="D112" s="412" t="str">
        <f>IF($K112&lt;192,"",IF($K112&gt;597,"",IF(VLOOKUP($K112,'CIRS Table Info'!$B$6:$J$425,4,FALSE)="Data",VLOOKUP($K112,'CIRS Table Info'!$B$6:$J$425,3,FALSE),"")))</f>
        <v>No Co-add</v>
      </c>
      <c r="E112" s="413" t="str">
        <f>IF($K112&lt;192,"",IF($K112&gt;597,"",IF(VLOOKUP($K112,'CIRS Table Info'!$B$6:$J$425,5,FALSE)="Data",VLOOKUP($K112,'CIRS Table Info'!$B$6:$J$425,3,FALSE),"")))</f>
        <v>No Co-add</v>
      </c>
      <c r="F112" s="414" t="str">
        <f>IF($K112&lt;192,"",IF($K112&gt;597,"",IF(VLOOKUP($K112,'CIRS Table Info'!$B$6:$J$425,7,FALSE)="Data",VLOOKUP($K112,'CIRS Table Info'!$B$6:$J$425,3,FALSE),"")))</f>
        <v>No Co-add</v>
      </c>
      <c r="G112" s="367">
        <f>IF($K112&lt;192,"",IF($K112&gt;597,"",VLOOKUP($K112,'CIRS Table Info'!$B$6:$J$425,2,FALSE)))</f>
        <v>0.53</v>
      </c>
      <c r="H112" s="412" t="str">
        <f>IF($K112&lt;192,"",IF($K112&gt;597,"",VLOOKUP($K112,'CIRS Table Info'!$B$6:$J$425,6,FALSE)))</f>
        <v>Blink</v>
      </c>
      <c r="I112" s="414" t="str">
        <f>IF($K112&lt;192,"",IF($K112&gt;597,"",VLOOKUP($K112,'CIRS Table Info'!$B$6:$J$425,8,FALSE)))</f>
        <v>Blink</v>
      </c>
      <c r="J112" s="423">
        <f t="shared" si="13"/>
        <v>4.1666666666666699E-2</v>
      </c>
      <c r="K112" s="141">
        <f t="shared" si="14"/>
        <v>491</v>
      </c>
      <c r="L112" s="468">
        <f>VLOOKUP($B112,'CIRS Table IDs'!$B:$P,15,FALSE)</f>
        <v>1</v>
      </c>
      <c r="M112" s="415">
        <f>IF($K112&lt;192,"",IF($K112&gt;597,"",VLOOKUP($K112,'CIRS Table Info'!$B$6:$K$425,10,FALSE)))</f>
        <v>3</v>
      </c>
      <c r="N112" s="456"/>
      <c r="O112" s="278"/>
      <c r="P112" s="83">
        <f t="shared" si="15"/>
        <v>1</v>
      </c>
      <c r="Q112" s="70" t="str">
        <f t="shared" si="9"/>
        <v/>
      </c>
      <c r="R112" s="14">
        <f t="shared" si="10"/>
        <v>3600</v>
      </c>
    </row>
    <row r="113" spans="1:18" x14ac:dyDescent="0.2">
      <c r="A113" s="83">
        <f t="shared" si="16"/>
        <v>188</v>
      </c>
      <c r="B113" s="275" t="str">
        <f t="shared" si="16"/>
        <v>CIRS_259TI_MIDIRTMAP002_PRIME</v>
      </c>
      <c r="C113" s="276" t="str">
        <f t="shared" si="12"/>
        <v>No Co-add</v>
      </c>
      <c r="D113" s="412" t="str">
        <f>IF($K113&lt;192,"",IF($K113&gt;597,"",IF(VLOOKUP($K113,'CIRS Table Info'!$B$6:$J$425,4,FALSE)="Data",VLOOKUP($K113,'CIRS Table Info'!$B$6:$J$425,3,FALSE),"")))</f>
        <v>No Co-add</v>
      </c>
      <c r="E113" s="413" t="str">
        <f>IF($K113&lt;192,"",IF($K113&gt;597,"",IF(VLOOKUP($K113,'CIRS Table Info'!$B$6:$J$425,5,FALSE)="Data",VLOOKUP($K113,'CIRS Table Info'!$B$6:$J$425,3,FALSE),"")))</f>
        <v>No Co-add</v>
      </c>
      <c r="F113" s="414" t="str">
        <f>IF($K113&lt;192,"",IF($K113&gt;597,"",IF(VLOOKUP($K113,'CIRS Table Info'!$B$6:$J$425,7,FALSE)="Data",VLOOKUP($K113,'CIRS Table Info'!$B$6:$J$425,3,FALSE),"")))</f>
        <v>No Co-add</v>
      </c>
      <c r="G113" s="367">
        <f>IF($K113&lt;192,"",IF($K113&gt;597,"",VLOOKUP($K113,'CIRS Table Info'!$B$6:$J$425,2,FALSE)))</f>
        <v>2.85</v>
      </c>
      <c r="H113" s="412" t="str">
        <f>IF($K113&lt;192,"",IF($K113&gt;597,"",VLOOKUP($K113,'CIRS Table Info'!$B$6:$J$425,6,FALSE)))</f>
        <v>Blink</v>
      </c>
      <c r="I113" s="414" t="str">
        <f>IF($K113&lt;192,"",IF($K113&gt;597,"",VLOOKUP($K113,'CIRS Table Info'!$B$6:$J$425,8,FALSE)))</f>
        <v>Blink</v>
      </c>
      <c r="J113" s="423">
        <f t="shared" si="13"/>
        <v>0.29166666666666702</v>
      </c>
      <c r="K113" s="141">
        <f t="shared" si="14"/>
        <v>467</v>
      </c>
      <c r="L113" s="468">
        <f>VLOOKUP($B113,'CIRS Table IDs'!$B:$P,15,FALSE)</f>
        <v>2</v>
      </c>
      <c r="M113" s="415">
        <f>IF($K113&lt;192,"",IF($K113&gt;597,"",VLOOKUP($K113,'CIRS Table Info'!$B$6:$K$425,10,FALSE)))</f>
        <v>3</v>
      </c>
      <c r="N113" s="456"/>
      <c r="O113" s="278"/>
      <c r="P113" s="83">
        <f t="shared" si="15"/>
        <v>1</v>
      </c>
      <c r="Q113" s="70" t="str">
        <f t="shared" si="9"/>
        <v/>
      </c>
      <c r="R113" s="14">
        <f t="shared" si="10"/>
        <v>3600</v>
      </c>
    </row>
    <row r="114" spans="1:18" x14ac:dyDescent="0.2">
      <c r="A114" s="83">
        <f t="shared" si="16"/>
        <v>189</v>
      </c>
      <c r="B114" s="275" t="str">
        <f t="shared" si="16"/>
        <v>CIRS_259TI_COMPMAP002_PRIME</v>
      </c>
      <c r="C114" s="276" t="str">
        <f t="shared" si="12"/>
        <v>No Co-add</v>
      </c>
      <c r="D114" s="412" t="str">
        <f>IF($K114&lt;192,"",IF($K114&gt;597,"",IF(VLOOKUP($K114,'CIRS Table Info'!$B$6:$J$425,4,FALSE)="Data",VLOOKUP($K114,'CIRS Table Info'!$B$6:$J$425,3,FALSE),"")))</f>
        <v>No Co-add</v>
      </c>
      <c r="E114" s="413" t="str">
        <f>IF($K114&lt;192,"",IF($K114&gt;597,"",IF(VLOOKUP($K114,'CIRS Table Info'!$B$6:$J$425,5,FALSE)="Data",VLOOKUP($K114,'CIRS Table Info'!$B$6:$J$425,3,FALSE),"")))</f>
        <v>No Co-add</v>
      </c>
      <c r="F114" s="414" t="str">
        <f>IF($K114&lt;192,"",IF($K114&gt;597,"",IF(VLOOKUP($K114,'CIRS Table Info'!$B$6:$J$425,7,FALSE)="Data",VLOOKUP($K114,'CIRS Table Info'!$B$6:$J$425,3,FALSE),"")))</f>
        <v>No Co-add</v>
      </c>
      <c r="G114" s="367">
        <f>IF($K114&lt;192,"",IF($K114&gt;597,"",VLOOKUP($K114,'CIRS Table Info'!$B$6:$J$425,2,FALSE)))</f>
        <v>0.53</v>
      </c>
      <c r="H114" s="412" t="str">
        <f>IF($K114&lt;192,"",IF($K114&gt;597,"",VLOOKUP($K114,'CIRS Table Info'!$B$6:$J$425,6,FALSE)))</f>
        <v>Blink</v>
      </c>
      <c r="I114" s="414" t="str">
        <f>IF($K114&lt;192,"",IF($K114&gt;597,"",VLOOKUP($K114,'CIRS Table Info'!$B$6:$J$425,8,FALSE)))</f>
        <v>Blink</v>
      </c>
      <c r="J114" s="423">
        <f t="shared" si="13"/>
        <v>0.23958333333333301</v>
      </c>
      <c r="K114" s="141">
        <f t="shared" si="14"/>
        <v>591</v>
      </c>
      <c r="L114" s="468">
        <f>VLOOKUP($B114,'CIRS Table IDs'!$B:$P,15,FALSE)</f>
        <v>1</v>
      </c>
      <c r="M114" s="415">
        <f>IF($K114&lt;192,"",IF($K114&gt;597,"",VLOOKUP($K114,'CIRS Table Info'!$B$6:$K$425,10,FALSE)))</f>
        <v>5</v>
      </c>
      <c r="N114" s="456"/>
      <c r="O114" s="278"/>
      <c r="P114" s="83">
        <f t="shared" si="15"/>
        <v>1</v>
      </c>
      <c r="Q114" s="70" t="str">
        <f t="shared" ref="Q114:Q115" si="17">IF($R56&lt;200,"",IF($R56&gt;=300,"",IF(MOD(MOD($R56,25)-3,6)&lt;3,"Yes","")))</f>
        <v/>
      </c>
      <c r="R114" s="14">
        <f t="shared" si="10"/>
        <v>3600</v>
      </c>
    </row>
    <row r="115" spans="1:18" x14ac:dyDescent="0.2">
      <c r="A115" s="83">
        <f t="shared" si="16"/>
        <v>190</v>
      </c>
      <c r="B115" s="275" t="str">
        <f t="shared" si="16"/>
        <v>CIRS_259TI_LRMONITOR002_ISS</v>
      </c>
      <c r="C115" s="276" t="str">
        <f t="shared" si="12"/>
        <v>No Co-add</v>
      </c>
      <c r="D115" s="412" t="str">
        <f>IF($K115&lt;192,"",IF($K115&gt;597,"",IF(VLOOKUP($K115,'CIRS Table Info'!$B$6:$J$425,4,FALSE)="Data",VLOOKUP($K115,'CIRS Table Info'!$B$6:$J$425,3,FALSE),"")))</f>
        <v>No Co-add</v>
      </c>
      <c r="E115" s="413" t="str">
        <f>IF($K115&lt;192,"",IF($K115&gt;597,"",IF(VLOOKUP($K115,'CIRS Table Info'!$B$6:$J$425,5,FALSE)="Data",VLOOKUP($K115,'CIRS Table Info'!$B$6:$J$425,3,FALSE),"")))</f>
        <v>No Co-add</v>
      </c>
      <c r="F115" s="414" t="str">
        <f>IF($K115&lt;192,"",IF($K115&gt;597,"",IF(VLOOKUP($K115,'CIRS Table Info'!$B$6:$J$425,7,FALSE)="Data",VLOOKUP($K115,'CIRS Table Info'!$B$6:$J$425,3,FALSE),"")))</f>
        <v>No Co-add</v>
      </c>
      <c r="G115" s="367">
        <f>IF($K115&lt;192,"",IF($K115&gt;597,"",VLOOKUP($K115,'CIRS Table Info'!$B$6:$J$425,2,FALSE)))</f>
        <v>0.53</v>
      </c>
      <c r="H115" s="412" t="str">
        <f>IF($K115&lt;192,"",IF($K115&gt;597,"",VLOOKUP($K115,'CIRS Table Info'!$B$6:$J$425,6,FALSE)))</f>
        <v>Blink</v>
      </c>
      <c r="I115" s="414" t="str">
        <f>IF($K115&lt;192,"",IF($K115&gt;597,"",VLOOKUP($K115,'CIRS Table Info'!$B$6:$J$425,8,FALSE)))</f>
        <v>Blink</v>
      </c>
      <c r="J115" s="423">
        <f t="shared" si="13"/>
        <v>4.1666666666666699E-2</v>
      </c>
      <c r="K115" s="141">
        <f t="shared" si="14"/>
        <v>491</v>
      </c>
      <c r="L115" s="468">
        <f>VLOOKUP($B115,'CIRS Table IDs'!$B:$P,15,FALSE)</f>
        <v>1</v>
      </c>
      <c r="M115" s="415">
        <f>IF($K115&lt;192,"",IF($K115&gt;597,"",VLOOKUP($K115,'CIRS Table Info'!$B$6:$K$425,10,FALSE)))</f>
        <v>3</v>
      </c>
      <c r="N115" s="456"/>
      <c r="O115" s="278"/>
      <c r="P115" s="83">
        <f t="shared" si="15"/>
        <v>1</v>
      </c>
      <c r="Q115" s="70" t="str">
        <f t="shared" si="17"/>
        <v/>
      </c>
      <c r="R115" s="14">
        <f t="shared" si="10"/>
        <v>3600</v>
      </c>
    </row>
    <row r="116" spans="1:18" ht="15.75" thickBot="1" x14ac:dyDescent="0.25">
      <c r="A116" s="83"/>
      <c r="B116" s="224"/>
      <c r="C116" s="225"/>
      <c r="D116" s="428"/>
      <c r="E116" s="429"/>
      <c r="F116" s="430"/>
      <c r="G116" s="421"/>
      <c r="H116" s="431"/>
      <c r="I116" s="227"/>
      <c r="J116" s="424"/>
      <c r="K116" s="432"/>
      <c r="L116" s="469"/>
      <c r="M116" s="173"/>
      <c r="N116" s="463"/>
      <c r="O116" s="279"/>
      <c r="P116" s="83"/>
    </row>
    <row r="117" spans="1:18" x14ac:dyDescent="0.2">
      <c r="A117" s="70"/>
      <c r="B117" s="117"/>
      <c r="C117" s="121"/>
      <c r="D117" s="280"/>
      <c r="E117" s="280"/>
      <c r="F117" s="280"/>
      <c r="G117" s="281"/>
      <c r="H117" s="282"/>
      <c r="I117" s="283"/>
      <c r="J117" s="284"/>
      <c r="K117" s="285"/>
      <c r="L117" s="272"/>
      <c r="M117" s="272"/>
      <c r="N117" s="272"/>
      <c r="O117" s="279"/>
      <c r="P117" s="286"/>
    </row>
    <row r="118" spans="1:18" x14ac:dyDescent="0.2">
      <c r="A118" s="70">
        <f>COUNTA(A67:A116)</f>
        <v>49</v>
      </c>
      <c r="B118" s="70"/>
      <c r="C118" s="70"/>
      <c r="D118" s="70"/>
      <c r="E118" s="70"/>
      <c r="F118" s="70"/>
      <c r="G118" s="70"/>
      <c r="H118" s="70"/>
      <c r="I118" s="70"/>
      <c r="J118" s="123"/>
      <c r="K118" s="70"/>
      <c r="L118" s="287"/>
      <c r="M118" s="287"/>
      <c r="N118" s="287"/>
      <c r="O118" s="222">
        <f>SUM(O66:O116)</f>
        <v>0</v>
      </c>
      <c r="P118" s="222">
        <f>SUM(P66:P116)</f>
        <v>49</v>
      </c>
    </row>
    <row r="119" spans="1:18" ht="15.75" thickBot="1" x14ac:dyDescent="0.25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288"/>
      <c r="M119" s="288"/>
      <c r="N119" s="288"/>
      <c r="O119" s="289"/>
      <c r="P119" s="288"/>
      <c r="Q119" s="83"/>
    </row>
    <row r="120" spans="1:18" ht="21.6" customHeight="1" x14ac:dyDescent="0.2">
      <c r="A120" s="70"/>
      <c r="B120" s="587" t="s">
        <v>252</v>
      </c>
      <c r="C120" s="623" t="s">
        <v>18</v>
      </c>
      <c r="D120" s="604"/>
      <c r="E120" s="604"/>
      <c r="F120" s="594"/>
      <c r="G120" s="442" t="s">
        <v>19</v>
      </c>
      <c r="H120" s="623" t="s">
        <v>20</v>
      </c>
      <c r="I120" s="604"/>
      <c r="J120" s="604"/>
      <c r="K120" s="594"/>
      <c r="L120" s="589" t="s">
        <v>22</v>
      </c>
      <c r="M120" s="70"/>
      <c r="N120" s="70"/>
      <c r="O120" s="290"/>
      <c r="P120" s="290"/>
      <c r="Q120" s="291"/>
      <c r="R120" s="70"/>
    </row>
    <row r="121" spans="1:18" ht="21.6" customHeight="1" thickBot="1" x14ac:dyDescent="0.25">
      <c r="A121" s="70"/>
      <c r="B121" s="633"/>
      <c r="C121" s="190" t="s">
        <v>25</v>
      </c>
      <c r="D121" s="88" t="s">
        <v>26</v>
      </c>
      <c r="E121" s="88" t="s">
        <v>27</v>
      </c>
      <c r="F121" s="89" t="s">
        <v>28</v>
      </c>
      <c r="G121" s="89" t="s">
        <v>28</v>
      </c>
      <c r="H121" s="190" t="s">
        <v>25</v>
      </c>
      <c r="I121" s="87" t="s">
        <v>26</v>
      </c>
      <c r="J121" s="88" t="s">
        <v>27</v>
      </c>
      <c r="K121" s="89" t="s">
        <v>28</v>
      </c>
      <c r="L121" s="632"/>
      <c r="M121" s="70"/>
      <c r="N121" s="70"/>
      <c r="O121" s="290"/>
      <c r="P121" s="290"/>
      <c r="Q121" s="291"/>
      <c r="R121" s="70"/>
    </row>
    <row r="122" spans="1:18" x14ac:dyDescent="0.2">
      <c r="A122" s="70"/>
      <c r="B122" s="91"/>
      <c r="C122" s="97"/>
      <c r="D122" s="220"/>
      <c r="E122" s="220"/>
      <c r="F122" s="96"/>
      <c r="G122" s="221"/>
      <c r="H122" s="292"/>
      <c r="I122" s="220"/>
      <c r="J122" s="220"/>
      <c r="K122" s="96"/>
      <c r="L122" s="91"/>
      <c r="M122" s="70"/>
      <c r="N122" s="70"/>
      <c r="O122" s="291"/>
      <c r="P122" s="290"/>
      <c r="Q122" s="291"/>
      <c r="R122" s="70"/>
    </row>
    <row r="123" spans="1:18" x14ac:dyDescent="0.2">
      <c r="A123" s="15"/>
      <c r="B123" s="45"/>
      <c r="C123" s="297"/>
      <c r="D123" s="40"/>
      <c r="E123" s="40"/>
      <c r="F123" s="37"/>
      <c r="G123" s="178"/>
      <c r="H123" s="297"/>
      <c r="I123" s="40"/>
      <c r="J123" s="40"/>
      <c r="K123" s="37"/>
      <c r="L123" s="42"/>
      <c r="M123" s="70"/>
      <c r="N123" s="70"/>
      <c r="O123" s="291"/>
      <c r="P123" s="290"/>
      <c r="Q123" s="291"/>
      <c r="R123" s="70"/>
    </row>
    <row r="124" spans="1:18" x14ac:dyDescent="0.2">
      <c r="A124" s="15"/>
      <c r="B124" s="45"/>
      <c r="C124" s="297"/>
      <c r="D124" s="40"/>
      <c r="E124" s="40"/>
      <c r="F124" s="37"/>
      <c r="G124" s="178"/>
      <c r="H124" s="297"/>
      <c r="I124" s="40"/>
      <c r="J124" s="40"/>
      <c r="K124" s="37"/>
      <c r="L124" s="42"/>
      <c r="M124" s="70"/>
      <c r="N124" s="70"/>
      <c r="O124" s="291"/>
      <c r="P124" s="290"/>
      <c r="Q124" s="291"/>
      <c r="R124" s="70"/>
    </row>
    <row r="125" spans="1:18" x14ac:dyDescent="0.2">
      <c r="A125" s="15"/>
      <c r="B125" s="45"/>
      <c r="C125" s="297"/>
      <c r="D125" s="40"/>
      <c r="E125" s="40"/>
      <c r="F125" s="37"/>
      <c r="G125" s="178"/>
      <c r="H125" s="297"/>
      <c r="I125" s="40"/>
      <c r="J125" s="40"/>
      <c r="K125" s="37"/>
      <c r="L125" s="42"/>
      <c r="M125" s="70"/>
      <c r="N125" s="70"/>
      <c r="O125" s="291"/>
      <c r="P125" s="290"/>
      <c r="Q125" s="291"/>
      <c r="R125" s="70"/>
    </row>
    <row r="126" spans="1:18" x14ac:dyDescent="0.2">
      <c r="A126" s="15"/>
      <c r="B126" s="45"/>
      <c r="C126" s="297"/>
      <c r="D126" s="40"/>
      <c r="E126" s="40"/>
      <c r="F126" s="37"/>
      <c r="G126" s="178"/>
      <c r="H126" s="297"/>
      <c r="I126" s="40"/>
      <c r="J126" s="40"/>
      <c r="K126" s="37"/>
      <c r="L126" s="42"/>
      <c r="M126" s="70"/>
      <c r="N126" s="70"/>
      <c r="O126" s="291"/>
      <c r="P126" s="290"/>
      <c r="Q126" s="291"/>
      <c r="R126" s="70"/>
    </row>
    <row r="127" spans="1:18" x14ac:dyDescent="0.2">
      <c r="A127" s="15"/>
      <c r="B127" s="45"/>
      <c r="C127" s="297"/>
      <c r="D127" s="40"/>
      <c r="E127" s="40"/>
      <c r="F127" s="37"/>
      <c r="G127" s="178"/>
      <c r="H127" s="297"/>
      <c r="I127" s="40"/>
      <c r="J127" s="40"/>
      <c r="K127" s="37"/>
      <c r="L127" s="42"/>
      <c r="M127" s="70"/>
      <c r="N127" s="70"/>
      <c r="O127" s="70"/>
      <c r="P127" s="70"/>
      <c r="Q127" s="293"/>
      <c r="R127" s="70"/>
    </row>
    <row r="128" spans="1:18" x14ac:dyDescent="0.2">
      <c r="A128" s="15"/>
      <c r="B128" s="45"/>
      <c r="C128" s="297"/>
      <c r="D128" s="40"/>
      <c r="E128" s="40"/>
      <c r="F128" s="37"/>
      <c r="G128" s="178"/>
      <c r="H128" s="297"/>
      <c r="I128" s="40"/>
      <c r="J128" s="40"/>
      <c r="K128" s="37"/>
      <c r="L128" s="42"/>
      <c r="M128" s="70"/>
      <c r="N128" s="70"/>
      <c r="O128" s="291"/>
      <c r="P128" s="290"/>
      <c r="Q128" s="291"/>
      <c r="R128" s="70"/>
    </row>
    <row r="129" spans="1:18" x14ac:dyDescent="0.2">
      <c r="A129" s="15"/>
      <c r="B129" s="45"/>
      <c r="C129" s="297"/>
      <c r="D129" s="40"/>
      <c r="E129" s="40"/>
      <c r="F129" s="37"/>
      <c r="G129" s="178"/>
      <c r="H129" s="297"/>
      <c r="I129" s="40"/>
      <c r="J129" s="40"/>
      <c r="K129" s="37"/>
      <c r="L129" s="42"/>
      <c r="M129" s="70"/>
      <c r="N129" s="70"/>
      <c r="O129" s="291"/>
      <c r="P129" s="290"/>
      <c r="Q129" s="291"/>
      <c r="R129" s="70"/>
    </row>
    <row r="130" spans="1:18" x14ac:dyDescent="0.2">
      <c r="A130" s="15"/>
      <c r="B130" s="45"/>
      <c r="C130" s="297"/>
      <c r="D130" s="40"/>
      <c r="E130" s="40"/>
      <c r="F130" s="37"/>
      <c r="G130" s="178"/>
      <c r="H130" s="297"/>
      <c r="I130" s="40"/>
      <c r="J130" s="40"/>
      <c r="K130" s="37"/>
      <c r="L130" s="42"/>
      <c r="M130" s="70"/>
      <c r="N130" s="70"/>
      <c r="O130" s="291"/>
      <c r="P130" s="290"/>
      <c r="Q130" s="291"/>
      <c r="R130" s="70"/>
    </row>
    <row r="131" spans="1:18" x14ac:dyDescent="0.2">
      <c r="A131" s="15"/>
      <c r="B131" s="45"/>
      <c r="C131" s="297"/>
      <c r="D131" s="40"/>
      <c r="E131" s="40"/>
      <c r="F131" s="37"/>
      <c r="G131" s="178"/>
      <c r="H131" s="297"/>
      <c r="I131" s="40"/>
      <c r="J131" s="40"/>
      <c r="K131" s="37"/>
      <c r="L131" s="42"/>
      <c r="M131" s="70"/>
      <c r="N131" s="70"/>
      <c r="O131" s="291"/>
      <c r="P131" s="290"/>
      <c r="Q131" s="291"/>
      <c r="R131" s="70"/>
    </row>
    <row r="132" spans="1:18" x14ac:dyDescent="0.2">
      <c r="A132" s="15"/>
      <c r="B132" s="45"/>
      <c r="C132" s="297"/>
      <c r="D132" s="40"/>
      <c r="E132" s="40"/>
      <c r="F132" s="37"/>
      <c r="G132" s="178"/>
      <c r="H132" s="297"/>
      <c r="I132" s="40"/>
      <c r="J132" s="40"/>
      <c r="K132" s="37"/>
      <c r="L132" s="42"/>
      <c r="M132" s="70"/>
      <c r="N132" s="70"/>
      <c r="O132" s="70"/>
      <c r="P132" s="70"/>
      <c r="Q132" s="293"/>
      <c r="R132" s="70"/>
    </row>
    <row r="133" spans="1:18" x14ac:dyDescent="0.2">
      <c r="A133" s="15"/>
      <c r="B133" s="45"/>
      <c r="C133" s="297"/>
      <c r="D133" s="40"/>
      <c r="E133" s="40"/>
      <c r="F133" s="37"/>
      <c r="G133" s="178"/>
      <c r="H133" s="297"/>
      <c r="I133" s="40"/>
      <c r="J133" s="40"/>
      <c r="K133" s="37"/>
      <c r="L133" s="42"/>
      <c r="M133" s="70"/>
      <c r="N133" s="70"/>
      <c r="O133" s="70"/>
      <c r="P133" s="70"/>
      <c r="Q133" s="293"/>
      <c r="R133" s="70"/>
    </row>
    <row r="134" spans="1:18" ht="15.75" thickBot="1" x14ac:dyDescent="0.25">
      <c r="A134" s="70"/>
      <c r="B134" s="224"/>
      <c r="C134" s="240"/>
      <c r="D134" s="241"/>
      <c r="E134" s="241"/>
      <c r="F134" s="245"/>
      <c r="G134" s="294"/>
      <c r="H134" s="295"/>
      <c r="I134" s="241"/>
      <c r="J134" s="241"/>
      <c r="K134" s="245"/>
      <c r="L134" s="296"/>
      <c r="M134" s="70"/>
      <c r="N134" s="70"/>
      <c r="O134" s="70"/>
      <c r="P134" s="70"/>
      <c r="Q134" s="70"/>
      <c r="R134" s="70"/>
    </row>
    <row r="135" spans="1:18" x14ac:dyDescent="0.2">
      <c r="A135" s="70"/>
      <c r="B135" s="70"/>
      <c r="C135" s="247"/>
      <c r="D135" s="84"/>
      <c r="E135" s="84"/>
      <c r="F135" s="124"/>
      <c r="G135" s="124"/>
      <c r="H135" s="248"/>
      <c r="I135" s="84"/>
      <c r="J135" s="84"/>
      <c r="K135" s="124"/>
      <c r="L135" s="125"/>
      <c r="M135" s="70"/>
      <c r="N135" s="70"/>
      <c r="O135" s="70"/>
      <c r="P135" s="70"/>
      <c r="Q135" s="70"/>
      <c r="R135" s="70"/>
    </row>
    <row r="136" spans="1:18" x14ac:dyDescent="0.2">
      <c r="A136" s="70">
        <f>COUNTA(B122:B134)</f>
        <v>0</v>
      </c>
      <c r="B136" s="70" t="s">
        <v>262</v>
      </c>
      <c r="C136" s="70"/>
      <c r="D136" s="70"/>
      <c r="E136" s="84" t="s">
        <v>246</v>
      </c>
      <c r="F136" s="70">
        <f>DAY(G136)</f>
        <v>0</v>
      </c>
      <c r="G136" s="123">
        <f>SUM(G122:G134)</f>
        <v>0</v>
      </c>
      <c r="H136" s="70"/>
      <c r="I136" s="70"/>
      <c r="J136" s="70"/>
      <c r="K136" s="84" t="s">
        <v>217</v>
      </c>
      <c r="L136" s="127">
        <f>SUM(L122:L134)</f>
        <v>0</v>
      </c>
      <c r="M136" s="70"/>
      <c r="N136" s="70"/>
      <c r="O136" s="70"/>
      <c r="P136" s="70"/>
      <c r="Q136" s="70"/>
      <c r="R136" s="70"/>
    </row>
    <row r="139" spans="1:18" x14ac:dyDescent="0.2">
      <c r="B139" s="14" t="s">
        <v>257</v>
      </c>
    </row>
    <row r="140" spans="1:18" ht="15.75" thickBot="1" x14ac:dyDescent="0.25"/>
    <row r="141" spans="1:18" ht="21.6" customHeight="1" x14ac:dyDescent="0.2">
      <c r="A141" s="70"/>
      <c r="B141" s="587" t="s">
        <v>17</v>
      </c>
      <c r="C141" s="623" t="s">
        <v>18</v>
      </c>
      <c r="D141" s="604"/>
      <c r="E141" s="604"/>
      <c r="F141" s="594"/>
      <c r="G141" s="442" t="s">
        <v>19</v>
      </c>
      <c r="H141" s="623" t="s">
        <v>20</v>
      </c>
      <c r="I141" s="604"/>
      <c r="J141" s="604"/>
      <c r="K141" s="594"/>
    </row>
    <row r="142" spans="1:18" ht="21.6" customHeight="1" thickBot="1" x14ac:dyDescent="0.25">
      <c r="A142" s="70"/>
      <c r="B142" s="588"/>
      <c r="C142" s="190" t="s">
        <v>25</v>
      </c>
      <c r="D142" s="88" t="s">
        <v>26</v>
      </c>
      <c r="E142" s="88" t="s">
        <v>27</v>
      </c>
      <c r="F142" s="89" t="s">
        <v>28</v>
      </c>
      <c r="G142" s="89" t="s">
        <v>28</v>
      </c>
      <c r="H142" s="190" t="s">
        <v>25</v>
      </c>
      <c r="I142" s="87" t="s">
        <v>26</v>
      </c>
      <c r="J142" s="88" t="s">
        <v>27</v>
      </c>
      <c r="K142" s="89" t="s">
        <v>28</v>
      </c>
    </row>
    <row r="143" spans="1:18" x14ac:dyDescent="0.2">
      <c r="A143" s="70"/>
      <c r="B143" s="249"/>
      <c r="C143" s="192"/>
      <c r="D143" s="193"/>
      <c r="E143" s="193"/>
      <c r="F143" s="250"/>
      <c r="G143" s="195"/>
      <c r="H143" s="196"/>
      <c r="I143" s="197"/>
      <c r="J143" s="197"/>
      <c r="K143" s="198"/>
    </row>
    <row r="144" spans="1:18" x14ac:dyDescent="0.2">
      <c r="A144" s="21"/>
      <c r="B144" s="45"/>
      <c r="C144" s="46"/>
      <c r="D144" s="36"/>
      <c r="E144" s="36"/>
      <c r="F144" s="37"/>
      <c r="G144" s="251"/>
      <c r="H144" s="252"/>
      <c r="I144" s="36"/>
      <c r="J144" s="36"/>
      <c r="K144" s="37"/>
    </row>
    <row r="145" spans="1:14" x14ac:dyDescent="0.2">
      <c r="A145" s="21"/>
      <c r="B145" s="45"/>
      <c r="C145" s="35"/>
      <c r="D145" s="36"/>
      <c r="E145" s="36"/>
      <c r="F145" s="37"/>
      <c r="G145" s="178"/>
      <c r="H145" s="35"/>
      <c r="I145" s="36"/>
      <c r="J145" s="36"/>
      <c r="K145" s="37"/>
    </row>
    <row r="146" spans="1:14" x14ac:dyDescent="0.2">
      <c r="A146" s="21"/>
      <c r="B146" s="45"/>
      <c r="C146" s="35"/>
      <c r="D146" s="36"/>
      <c r="E146" s="36"/>
      <c r="F146" s="37"/>
      <c r="G146" s="178"/>
      <c r="H146" s="35"/>
      <c r="I146" s="36"/>
      <c r="J146" s="36"/>
      <c r="K146" s="37"/>
    </row>
    <row r="147" spans="1:14" x14ac:dyDescent="0.2">
      <c r="A147" s="21"/>
      <c r="B147" s="45"/>
      <c r="C147" s="35"/>
      <c r="D147" s="36"/>
      <c r="E147" s="36"/>
      <c r="F147" s="37"/>
      <c r="G147" s="178"/>
      <c r="H147" s="35"/>
      <c r="I147" s="36"/>
      <c r="J147" s="36"/>
      <c r="K147" s="37"/>
      <c r="L147" s="49"/>
      <c r="N147" s="66"/>
    </row>
    <row r="148" spans="1:14" x14ac:dyDescent="0.2">
      <c r="A148" s="21"/>
      <c r="B148" s="45"/>
      <c r="C148" s="35"/>
      <c r="D148" s="36"/>
      <c r="E148" s="36"/>
      <c r="F148" s="37"/>
      <c r="G148" s="178"/>
      <c r="H148" s="35"/>
      <c r="I148" s="36"/>
      <c r="J148" s="36"/>
      <c r="K148" s="37"/>
      <c r="L148" s="49"/>
      <c r="N148" s="66"/>
    </row>
    <row r="149" spans="1:14" x14ac:dyDescent="0.2">
      <c r="A149" s="21"/>
      <c r="B149" s="45"/>
      <c r="C149" s="35"/>
      <c r="D149" s="36"/>
      <c r="E149" s="36"/>
      <c r="F149" s="37"/>
      <c r="G149" s="178"/>
      <c r="H149" s="35"/>
      <c r="I149" s="36"/>
      <c r="J149" s="36"/>
      <c r="K149" s="37"/>
      <c r="L149" s="49"/>
      <c r="N149" s="66"/>
    </row>
    <row r="150" spans="1:14" x14ac:dyDescent="0.2">
      <c r="A150" s="21"/>
      <c r="B150" s="45"/>
      <c r="C150" s="35"/>
      <c r="D150" s="36"/>
      <c r="E150" s="36"/>
      <c r="F150" s="37"/>
      <c r="G150" s="178"/>
      <c r="H150" s="35"/>
      <c r="I150" s="36"/>
      <c r="J150" s="36"/>
      <c r="K150" s="37"/>
      <c r="L150" s="49"/>
      <c r="N150" s="66"/>
    </row>
    <row r="151" spans="1:14" x14ac:dyDescent="0.2">
      <c r="A151" s="21"/>
      <c r="B151" s="45"/>
      <c r="C151" s="35"/>
      <c r="D151" s="36"/>
      <c r="E151" s="36"/>
      <c r="F151" s="37"/>
      <c r="G151" s="178"/>
      <c r="H151" s="35"/>
      <c r="I151" s="36"/>
      <c r="J151" s="36"/>
      <c r="K151" s="37"/>
    </row>
    <row r="152" spans="1:14" x14ac:dyDescent="0.2">
      <c r="A152" s="21"/>
      <c r="B152" s="45"/>
      <c r="C152" s="35"/>
      <c r="D152" s="36"/>
      <c r="E152" s="36"/>
      <c r="F152" s="37"/>
      <c r="G152" s="178"/>
      <c r="H152" s="35"/>
      <c r="I152" s="36"/>
      <c r="J152" s="36"/>
      <c r="K152" s="37"/>
    </row>
    <row r="153" spans="1:14" x14ac:dyDescent="0.2">
      <c r="A153" s="21"/>
      <c r="B153" s="45"/>
      <c r="C153" s="35"/>
      <c r="D153" s="36"/>
      <c r="E153" s="36"/>
      <c r="F153" s="37"/>
      <c r="G153" s="178"/>
      <c r="H153" s="35"/>
      <c r="I153" s="36"/>
      <c r="J153" s="36"/>
      <c r="K153" s="37"/>
    </row>
    <row r="154" spans="1:14" x14ac:dyDescent="0.2">
      <c r="A154" s="21"/>
      <c r="B154" s="45"/>
      <c r="C154" s="35"/>
      <c r="D154" s="36"/>
      <c r="E154" s="36"/>
      <c r="F154" s="37"/>
      <c r="G154" s="178"/>
      <c r="H154" s="35"/>
      <c r="I154" s="36"/>
      <c r="J154" s="36"/>
      <c r="K154" s="37"/>
    </row>
    <row r="155" spans="1:14" x14ac:dyDescent="0.2">
      <c r="A155" s="21"/>
      <c r="B155" s="45"/>
      <c r="C155" s="46"/>
      <c r="D155" s="36"/>
      <c r="E155" s="36"/>
      <c r="F155" s="37"/>
      <c r="G155" s="251"/>
      <c r="H155" s="252"/>
      <c r="I155" s="36"/>
      <c r="J155" s="36"/>
      <c r="K155" s="37"/>
    </row>
    <row r="156" spans="1:14" x14ac:dyDescent="0.2">
      <c r="A156" s="21"/>
      <c r="B156" s="45"/>
      <c r="C156" s="297"/>
      <c r="D156" s="40"/>
      <c r="E156" s="40"/>
      <c r="F156" s="37"/>
      <c r="G156" s="178"/>
      <c r="H156" s="297"/>
      <c r="I156" s="40"/>
      <c r="J156" s="40"/>
      <c r="K156" s="37"/>
    </row>
    <row r="157" spans="1:14" ht="15.75" thickBot="1" x14ac:dyDescent="0.25">
      <c r="B157" s="253"/>
      <c r="C157" s="254"/>
      <c r="D157" s="255"/>
      <c r="E157" s="255"/>
      <c r="F157" s="256"/>
      <c r="G157" s="257"/>
      <c r="H157" s="254"/>
      <c r="I157" s="255"/>
      <c r="J157" s="255"/>
      <c r="K157" s="256"/>
    </row>
    <row r="159" spans="1:14" x14ac:dyDescent="0.2">
      <c r="G159" s="66">
        <v>1</v>
      </c>
    </row>
    <row r="164" spans="6:8" x14ac:dyDescent="0.2">
      <c r="G164" s="145"/>
    </row>
    <row r="165" spans="6:8" x14ac:dyDescent="0.2">
      <c r="F165" s="145"/>
      <c r="G165" s="145"/>
    </row>
    <row r="166" spans="6:8" x14ac:dyDescent="0.2">
      <c r="F166" s="145"/>
      <c r="G166" s="145"/>
    </row>
    <row r="167" spans="6:8" x14ac:dyDescent="0.2">
      <c r="F167" s="145"/>
      <c r="G167" s="145"/>
    </row>
    <row r="168" spans="6:8" x14ac:dyDescent="0.2">
      <c r="F168" s="145"/>
      <c r="G168" s="145"/>
    </row>
    <row r="169" spans="6:8" x14ac:dyDescent="0.2">
      <c r="F169" s="145"/>
      <c r="G169" s="145"/>
    </row>
    <row r="170" spans="6:8" x14ac:dyDescent="0.2">
      <c r="F170" s="145"/>
      <c r="G170" s="145"/>
      <c r="H170" s="145"/>
    </row>
    <row r="171" spans="6:8" x14ac:dyDescent="0.2">
      <c r="F171" s="145"/>
      <c r="G171" s="145"/>
      <c r="H171" s="145"/>
    </row>
  </sheetData>
  <mergeCells count="29">
    <mergeCell ref="L120:L121"/>
    <mergeCell ref="P64:P65"/>
    <mergeCell ref="O64:O65"/>
    <mergeCell ref="B141:B142"/>
    <mergeCell ref="C141:F141"/>
    <mergeCell ref="H141:K141"/>
    <mergeCell ref="B120:B121"/>
    <mergeCell ref="C120:F120"/>
    <mergeCell ref="H120:K120"/>
    <mergeCell ref="J64:J65"/>
    <mergeCell ref="K64:K65"/>
    <mergeCell ref="B5:B6"/>
    <mergeCell ref="L64:L65"/>
    <mergeCell ref="C5:F5"/>
    <mergeCell ref="H5:K5"/>
    <mergeCell ref="L5:L6"/>
    <mergeCell ref="B64:B65"/>
    <mergeCell ref="C64:C65"/>
    <mergeCell ref="D64:F64"/>
    <mergeCell ref="G64:G65"/>
    <mergeCell ref="H64:I64"/>
    <mergeCell ref="Q64:Q65"/>
    <mergeCell ref="O5:Q5"/>
    <mergeCell ref="M64:M65"/>
    <mergeCell ref="N64:N65"/>
    <mergeCell ref="R5:R6"/>
    <mergeCell ref="M5:M6"/>
    <mergeCell ref="N5:N6"/>
    <mergeCell ref="R64:R65"/>
  </mergeCells>
  <conditionalFormatting sqref="C67:F115">
    <cfRule type="cellIs" dxfId="94" priority="54" operator="equal">
      <formula>"No Co-add"</formula>
    </cfRule>
    <cfRule type="cellIs" dxfId="93" priority="55" operator="equal">
      <formula>"Co-add"</formula>
    </cfRule>
  </conditionalFormatting>
  <conditionalFormatting sqref="K67:K115">
    <cfRule type="cellIs" dxfId="92" priority="53" operator="lessThan">
      <formula>192</formula>
    </cfRule>
    <cfRule type="containsErrors" dxfId="91" priority="56">
      <formula>ISERROR(K67)</formula>
    </cfRule>
  </conditionalFormatting>
  <conditionalFormatting sqref="Q67:Q115">
    <cfRule type="cellIs" dxfId="90" priority="50" operator="equal">
      <formula>"Yes"</formula>
    </cfRule>
    <cfRule type="containsErrors" dxfId="89" priority="51">
      <formula>ISERROR(Q67)</formula>
    </cfRule>
  </conditionalFormatting>
  <conditionalFormatting sqref="A67:A115">
    <cfRule type="expression" dxfId="88" priority="66">
      <formula>IF($Q67="Yes",TRUE,FALSE)</formula>
    </cfRule>
  </conditionalFormatting>
  <conditionalFormatting sqref="D67:D115">
    <cfRule type="expression" dxfId="87" priority="32">
      <formula>AND($C67&gt;0,$D67=" ")</formula>
    </cfRule>
    <cfRule type="expression" dxfId="86" priority="33">
      <formula>AND($C67&gt;0,$D67="")</formula>
    </cfRule>
    <cfRule type="expression" dxfId="85" priority="34">
      <formula>AND($C67=190,$D67="No Co-add")</formula>
    </cfRule>
    <cfRule type="expression" dxfId="84" priority="35">
      <formula>AND($C67=360,$D67="Co-add")</formula>
    </cfRule>
    <cfRule type="expression" dxfId="83" priority="36">
      <formula>AND($C67=1045,$D67="No Co-add")</formula>
    </cfRule>
    <cfRule type="expression" dxfId="82" priority="37">
      <formula>AND($C67=1980,$D67="Co-add")</formula>
    </cfRule>
    <cfRule type="expression" dxfId="81" priority="38">
      <formula>AND($C67="Co-add",$D67=" ")</formula>
    </cfRule>
    <cfRule type="expression" dxfId="80" priority="39">
      <formula>AND($C67="Co-add",$D67="")</formula>
    </cfRule>
    <cfRule type="expression" dxfId="79" priority="40">
      <formula>AND($C67="No Co-add",$D67=" ")</formula>
    </cfRule>
    <cfRule type="expression" dxfId="78" priority="41">
      <formula>AND($C67="No Co-add",$D67="")</formula>
    </cfRule>
    <cfRule type="expression" dxfId="77" priority="44">
      <formula>AND($C67="Co-add",$D67="No Co-add")</formula>
    </cfRule>
    <cfRule type="expression" dxfId="76" priority="46">
      <formula>AND($C67="No Co-add",$D67="Co-add")</formula>
    </cfRule>
  </conditionalFormatting>
  <conditionalFormatting sqref="E67:E115">
    <cfRule type="expression" dxfId="75" priority="8">
      <formula>AND($C67&lt;1045,$E67="Co-add")</formula>
    </cfRule>
    <cfRule type="expression" dxfId="74" priority="9">
      <formula>AND($C67&lt;1045,$E67="No Co-add")</formula>
    </cfRule>
    <cfRule type="expression" dxfId="73" priority="22">
      <formula>AND($C67&gt;1000,$E67=" ")</formula>
    </cfRule>
    <cfRule type="expression" dxfId="72" priority="23">
      <formula>AND($C67&gt;1000,$E67="")</formula>
    </cfRule>
    <cfRule type="expression" dxfId="71" priority="24">
      <formula>AND($C67=1045,$E67="No Co-add")</formula>
    </cfRule>
    <cfRule type="expression" dxfId="70" priority="25">
      <formula>AND($C67=1980,$E67="Co-add")</formula>
    </cfRule>
    <cfRule type="expression" dxfId="69" priority="26">
      <formula>AND($C67="Co-add",$E67=" ")</formula>
    </cfRule>
    <cfRule type="expression" dxfId="68" priority="27">
      <formula>AND($C67="Co-add",$E67="")</formula>
    </cfRule>
    <cfRule type="expression" dxfId="67" priority="28">
      <formula>AND($C67="Co-add",$E67="No Co-add")</formula>
    </cfRule>
    <cfRule type="expression" dxfId="66" priority="29">
      <formula>AND($C67="No Co-add",$E67=" ")</formula>
    </cfRule>
    <cfRule type="expression" dxfId="65" priority="30">
      <formula>AND($C67="No Co-add",$E67="")</formula>
    </cfRule>
    <cfRule type="expression" dxfId="64" priority="31">
      <formula>AND($C67="No Co-add",$E67="Co-add")</formula>
    </cfRule>
  </conditionalFormatting>
  <conditionalFormatting sqref="F67:F115">
    <cfRule type="expression" dxfId="63" priority="1">
      <formula>AND($C67=2000,$F67=" ")</formula>
    </cfRule>
    <cfRule type="expression" dxfId="62" priority="4">
      <formula>AND($C67&gt;2200,$F67="")</formula>
    </cfRule>
    <cfRule type="expression" dxfId="61" priority="5">
      <formula>AND($C67&gt;2200,$F67=" ")</formula>
    </cfRule>
    <cfRule type="expression" dxfId="60" priority="6">
      <formula>AND($C67&lt;1900,$F67="Co-add")</formula>
    </cfRule>
    <cfRule type="expression" dxfId="59" priority="7">
      <formula>AND($C67&lt;3600,$F67="No Co-add")</formula>
    </cfRule>
    <cfRule type="expression" dxfId="58" priority="10">
      <formula>AND($C67="Co-add",$F67=" ")</formula>
    </cfRule>
    <cfRule type="expression" dxfId="57" priority="11">
      <formula>AND($C67="Co-add",$F67="")</formula>
    </cfRule>
    <cfRule type="expression" dxfId="56" priority="12">
      <formula>AND($C67="Co-add",$F67="No Co-add")</formula>
    </cfRule>
    <cfRule type="expression" dxfId="55" priority="14">
      <formula>AND($C67="No Co-add",$F67="Co-add")</formula>
    </cfRule>
    <cfRule type="expression" dxfId="54" priority="19">
      <formula>AND($C67="No Co-add",$F67="")</formula>
    </cfRule>
    <cfRule type="expression" dxfId="53" priority="20">
      <formula>AND($C67=2000,$F67="")</formula>
    </cfRule>
    <cfRule type="expression" dxfId="52" priority="21">
      <formula>AND($C67="No Co-add",$F67=" ")</formula>
    </cfRule>
  </conditionalFormatting>
  <conditionalFormatting sqref="C67:C115">
    <cfRule type="expression" dxfId="51" priority="151">
      <formula>L9&gt;R67</formula>
    </cfRule>
    <cfRule type="expression" dxfId="50" priority="152">
      <formula>L9&lt; R67</formula>
    </cfRule>
  </conditionalFormatting>
  <printOptions gridLines="1" gridLinesSet="0"/>
  <pageMargins left="0.75" right="0.75" top="1" bottom="1" header="0.51181102300000003" footer="0.51181102300000003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/>
  </sheetViews>
  <sheetFormatPr defaultColWidth="9.125" defaultRowHeight="15" x14ac:dyDescent="0.2"/>
  <cols>
    <col min="1" max="1" width="4.375" style="14" customWidth="1"/>
    <col min="2" max="2" width="17.75" style="14" customWidth="1"/>
    <col min="3" max="3" width="14.375" style="14" customWidth="1"/>
    <col min="4" max="4" width="23.125" style="14" customWidth="1"/>
    <col min="5" max="5" width="14.625" style="14" customWidth="1"/>
    <col min="6" max="6" width="23.875" style="14" customWidth="1"/>
    <col min="7" max="7" width="26.375" style="14" customWidth="1"/>
    <col min="8" max="8" width="14" style="14" customWidth="1"/>
    <col min="9" max="9" width="19" style="14" customWidth="1"/>
    <col min="10" max="10" width="22.875" style="14" customWidth="1"/>
    <col min="11" max="11" width="26" style="14" bestFit="1" customWidth="1"/>
    <col min="12" max="12" width="7.375" style="14" customWidth="1"/>
    <col min="13" max="16384" width="9.125" style="14"/>
  </cols>
  <sheetData>
    <row r="1" spans="1:12" ht="15.75" thickBot="1" x14ac:dyDescent="0.25"/>
    <row r="2" spans="1:12" x14ac:dyDescent="0.2">
      <c r="A2" s="70"/>
      <c r="B2" s="587" t="s">
        <v>17</v>
      </c>
      <c r="C2" s="587" t="s">
        <v>227</v>
      </c>
      <c r="D2" s="589" t="s">
        <v>228</v>
      </c>
      <c r="E2" s="85" t="s">
        <v>19</v>
      </c>
      <c r="F2" s="589" t="s">
        <v>263</v>
      </c>
      <c r="G2" s="589" t="s">
        <v>264</v>
      </c>
      <c r="H2" s="85" t="s">
        <v>19</v>
      </c>
      <c r="I2" s="589" t="s">
        <v>265</v>
      </c>
      <c r="J2" s="589" t="s">
        <v>266</v>
      </c>
      <c r="K2" s="589" t="s">
        <v>267</v>
      </c>
      <c r="L2" s="298"/>
    </row>
    <row r="3" spans="1:12" ht="15.75" thickBot="1" x14ac:dyDescent="0.25">
      <c r="A3" s="70"/>
      <c r="B3" s="588"/>
      <c r="C3" s="588"/>
      <c r="D3" s="590"/>
      <c r="E3" s="89" t="s">
        <v>28</v>
      </c>
      <c r="F3" s="590"/>
      <c r="G3" s="590"/>
      <c r="H3" s="89" t="s">
        <v>268</v>
      </c>
      <c r="I3" s="590"/>
      <c r="J3" s="590"/>
      <c r="K3" s="590"/>
      <c r="L3" s="299"/>
    </row>
    <row r="4" spans="1:12" ht="15.75" thickBot="1" x14ac:dyDescent="0.25">
      <c r="A4" s="70"/>
      <c r="B4" s="300"/>
      <c r="C4" s="301"/>
      <c r="D4" s="301"/>
      <c r="E4" s="302"/>
      <c r="F4" s="301"/>
      <c r="G4" s="303"/>
      <c r="H4" s="304"/>
      <c r="I4" s="304"/>
      <c r="J4" s="304"/>
      <c r="K4" s="304"/>
      <c r="L4" s="64"/>
    </row>
    <row r="5" spans="1:12" x14ac:dyDescent="0.2">
      <c r="A5" s="15"/>
      <c r="B5" s="139"/>
      <c r="C5" s="305"/>
      <c r="D5" s="277"/>
      <c r="E5" s="306"/>
      <c r="F5" s="307"/>
      <c r="G5" s="308"/>
      <c r="H5" s="309"/>
      <c r="I5" s="307"/>
      <c r="J5" s="308"/>
      <c r="K5" s="310"/>
      <c r="L5" s="311"/>
    </row>
    <row r="6" spans="1:12" x14ac:dyDescent="0.2">
      <c r="A6" s="21"/>
      <c r="B6" s="45"/>
      <c r="C6" s="45"/>
      <c r="D6" s="277"/>
      <c r="E6" s="178"/>
      <c r="F6" s="41"/>
      <c r="G6" s="42"/>
      <c r="H6" s="312">
        <f>HOUR(E6)*60*60+MINUTE(E6)*60+SECOND(E6)</f>
        <v>0</v>
      </c>
      <c r="I6" s="41"/>
      <c r="J6" s="42">
        <f>IF(I6=4000,0.85,0.9)</f>
        <v>0.9</v>
      </c>
      <c r="K6" s="313">
        <f>H6*I6*J6/1000000</f>
        <v>0</v>
      </c>
      <c r="L6" s="13"/>
    </row>
    <row r="7" spans="1:12" x14ac:dyDescent="0.2">
      <c r="A7" s="21"/>
      <c r="B7" s="45"/>
      <c r="C7" s="45"/>
      <c r="D7" s="277"/>
      <c r="E7" s="178"/>
      <c r="F7" s="41"/>
      <c r="G7" s="42"/>
      <c r="H7" s="312">
        <f t="shared" ref="H7:H13" si="0">HOUR(E7)*60*60+MINUTE(E7)*60+SECOND(E7)</f>
        <v>0</v>
      </c>
      <c r="I7" s="41"/>
      <c r="J7" s="42">
        <v>0.78</v>
      </c>
      <c r="K7" s="313">
        <f t="shared" ref="K7:K13" si="1">H7*I7*J7/1000000</f>
        <v>0</v>
      </c>
      <c r="L7" s="13"/>
    </row>
    <row r="8" spans="1:12" x14ac:dyDescent="0.2">
      <c r="A8" s="21"/>
      <c r="B8" s="45"/>
      <c r="C8" s="45"/>
      <c r="D8" s="277"/>
      <c r="E8" s="178"/>
      <c r="F8" s="41"/>
      <c r="G8" s="42"/>
      <c r="H8" s="312">
        <f t="shared" si="0"/>
        <v>0</v>
      </c>
      <c r="I8" s="41"/>
      <c r="J8" s="42">
        <v>0.78</v>
      </c>
      <c r="K8" s="313">
        <f t="shared" si="1"/>
        <v>0</v>
      </c>
      <c r="L8" s="13"/>
    </row>
    <row r="9" spans="1:12" x14ac:dyDescent="0.2">
      <c r="A9" s="21"/>
      <c r="B9" s="45"/>
      <c r="C9" s="45"/>
      <c r="D9" s="277"/>
      <c r="E9" s="178"/>
      <c r="F9" s="41"/>
      <c r="G9" s="42"/>
      <c r="H9" s="312">
        <f t="shared" si="0"/>
        <v>0</v>
      </c>
      <c r="I9" s="41"/>
      <c r="J9" s="42">
        <v>0.75</v>
      </c>
      <c r="K9" s="313">
        <f t="shared" si="1"/>
        <v>0</v>
      </c>
      <c r="L9" s="13"/>
    </row>
    <row r="10" spans="1:12" x14ac:dyDescent="0.2">
      <c r="A10" s="21"/>
      <c r="B10" s="45"/>
      <c r="C10" s="45"/>
      <c r="D10" s="277"/>
      <c r="E10" s="178"/>
      <c r="F10" s="41"/>
      <c r="G10" s="42"/>
      <c r="H10" s="312">
        <f t="shared" si="0"/>
        <v>0</v>
      </c>
      <c r="I10" s="41"/>
      <c r="J10" s="42">
        <v>0.84</v>
      </c>
      <c r="K10" s="313">
        <f t="shared" si="1"/>
        <v>0</v>
      </c>
      <c r="L10" s="13"/>
    </row>
    <row r="11" spans="1:12" ht="15.75" x14ac:dyDescent="0.25">
      <c r="A11" s="314"/>
      <c r="B11" s="315"/>
      <c r="C11" s="315"/>
      <c r="D11" s="316"/>
      <c r="E11" s="317"/>
      <c r="F11" s="318"/>
      <c r="G11" s="319"/>
      <c r="H11" s="320">
        <f t="shared" si="0"/>
        <v>0</v>
      </c>
      <c r="I11" s="318"/>
      <c r="J11" s="319">
        <v>0.7</v>
      </c>
      <c r="K11" s="321">
        <f t="shared" si="1"/>
        <v>0</v>
      </c>
      <c r="L11" s="13"/>
    </row>
    <row r="12" spans="1:12" ht="15.75" x14ac:dyDescent="0.25">
      <c r="A12" s="314"/>
      <c r="B12" s="315"/>
      <c r="C12" s="315"/>
      <c r="D12" s="316"/>
      <c r="E12" s="317"/>
      <c r="F12" s="318"/>
      <c r="G12" s="319"/>
      <c r="H12" s="320">
        <f t="shared" si="0"/>
        <v>0</v>
      </c>
      <c r="I12" s="318"/>
      <c r="J12" s="319">
        <f>IF(I12=4000,0.85,0.9)</f>
        <v>0.9</v>
      </c>
      <c r="K12" s="321">
        <f t="shared" si="1"/>
        <v>0</v>
      </c>
      <c r="L12" s="13"/>
    </row>
    <row r="13" spans="1:12" ht="15.75" x14ac:dyDescent="0.25">
      <c r="A13" s="314"/>
      <c r="B13" s="315"/>
      <c r="C13" s="315"/>
      <c r="D13" s="316"/>
      <c r="E13" s="317"/>
      <c r="F13" s="318"/>
      <c r="G13" s="319"/>
      <c r="H13" s="320">
        <f t="shared" si="0"/>
        <v>0</v>
      </c>
      <c r="I13" s="318"/>
      <c r="J13" s="319">
        <v>0.7</v>
      </c>
      <c r="K13" s="321">
        <f t="shared" si="1"/>
        <v>0</v>
      </c>
      <c r="L13" s="13"/>
    </row>
    <row r="14" spans="1:12" x14ac:dyDescent="0.2">
      <c r="A14" s="21"/>
      <c r="B14" s="45"/>
      <c r="C14" s="305"/>
      <c r="D14" s="277"/>
      <c r="E14" s="251"/>
      <c r="F14" s="43"/>
      <c r="G14" s="42"/>
      <c r="H14" s="312"/>
      <c r="I14" s="43"/>
      <c r="J14" s="42"/>
      <c r="K14" s="313"/>
      <c r="L14" s="13"/>
    </row>
    <row r="15" spans="1:12" x14ac:dyDescent="0.2">
      <c r="A15" s="15"/>
      <c r="B15" s="139"/>
      <c r="C15" s="305"/>
      <c r="D15" s="277"/>
      <c r="E15" s="178"/>
      <c r="F15" s="43" t="s">
        <v>15</v>
      </c>
      <c r="G15" s="42">
        <f>SUM(G6:G14)</f>
        <v>0</v>
      </c>
      <c r="H15" s="309"/>
      <c r="I15" s="308">
        <f>G15-K15</f>
        <v>0</v>
      </c>
      <c r="J15" s="43" t="s">
        <v>15</v>
      </c>
      <c r="K15" s="42">
        <f>SUM(K6:K14)</f>
        <v>0</v>
      </c>
      <c r="L15" s="13"/>
    </row>
    <row r="16" spans="1:12" ht="15.75" thickBot="1" x14ac:dyDescent="0.25">
      <c r="A16" s="15"/>
      <c r="B16" s="322"/>
      <c r="C16" s="323"/>
      <c r="D16" s="324"/>
      <c r="E16" s="325"/>
      <c r="F16" s="326"/>
      <c r="G16" s="327"/>
      <c r="H16" s="328"/>
      <c r="I16" s="329"/>
      <c r="J16" s="328"/>
      <c r="K16" s="328"/>
      <c r="L16" s="330"/>
    </row>
    <row r="17" spans="1:12" x14ac:dyDescent="0.2">
      <c r="A17" s="15"/>
    </row>
    <row r="18" spans="1:12" x14ac:dyDescent="0.2">
      <c r="A18" s="15">
        <f>COUNTA(B6:B14)</f>
        <v>0</v>
      </c>
      <c r="E18" s="175"/>
      <c r="G18" s="67"/>
      <c r="K18" s="67"/>
      <c r="L18" s="67"/>
    </row>
    <row r="19" spans="1:12" x14ac:dyDescent="0.2">
      <c r="G19" s="67"/>
      <c r="H19" s="67"/>
    </row>
    <row r="20" spans="1:12" x14ac:dyDescent="0.2">
      <c r="H20" s="67"/>
      <c r="I20" s="331"/>
    </row>
    <row r="26" spans="1:12" x14ac:dyDescent="0.2">
      <c r="H26" s="145"/>
    </row>
    <row r="27" spans="1:12" x14ac:dyDescent="0.2">
      <c r="H27" s="145"/>
    </row>
  </sheetData>
  <mergeCells count="8">
    <mergeCell ref="J2:J3"/>
    <mergeCell ref="K2:K3"/>
    <mergeCell ref="B2:B3"/>
    <mergeCell ref="C2:C3"/>
    <mergeCell ref="D2:D3"/>
    <mergeCell ref="F2:F3"/>
    <mergeCell ref="G2:G3"/>
    <mergeCell ref="I2:I3"/>
  </mergeCells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2"/>
  <sheetViews>
    <sheetView workbookViewId="0"/>
  </sheetViews>
  <sheetFormatPr defaultColWidth="11.375" defaultRowHeight="15" x14ac:dyDescent="0.2"/>
  <cols>
    <col min="1" max="1" width="6.125" style="14" customWidth="1"/>
    <col min="2" max="2" width="21.375" style="14" customWidth="1"/>
    <col min="3" max="3" width="18.75" style="14" customWidth="1"/>
    <col min="4" max="4" width="18.625" style="14" customWidth="1"/>
    <col min="5" max="16384" width="11.375" style="14"/>
  </cols>
  <sheetData>
    <row r="3" spans="1:4" x14ac:dyDescent="0.2">
      <c r="A3" s="70"/>
      <c r="B3" s="70" t="s">
        <v>224</v>
      </c>
      <c r="C3" s="70"/>
      <c r="D3" s="70"/>
    </row>
    <row r="4" spans="1:4" ht="15.75" thickBot="1" x14ac:dyDescent="0.25">
      <c r="A4" s="70"/>
      <c r="B4" s="70"/>
      <c r="C4" s="70"/>
      <c r="D4" s="70"/>
    </row>
    <row r="5" spans="1:4" x14ac:dyDescent="0.2">
      <c r="A5" s="70"/>
      <c r="B5" s="587" t="s">
        <v>17</v>
      </c>
      <c r="C5" s="587" t="s">
        <v>225</v>
      </c>
      <c r="D5" s="587" t="s">
        <v>226</v>
      </c>
    </row>
    <row r="6" spans="1:4" ht="15.75" thickBot="1" x14ac:dyDescent="0.25">
      <c r="A6" s="70"/>
      <c r="B6" s="606"/>
      <c r="C6" s="606"/>
      <c r="D6" s="606"/>
    </row>
    <row r="7" spans="1:4" x14ac:dyDescent="0.2">
      <c r="A7" s="15"/>
      <c r="B7" s="139"/>
      <c r="C7" s="140"/>
      <c r="D7" s="140"/>
    </row>
    <row r="8" spans="1:4" x14ac:dyDescent="0.2">
      <c r="A8" s="21"/>
      <c r="B8" s="45"/>
      <c r="C8" s="141"/>
      <c r="D8" s="141"/>
    </row>
    <row r="9" spans="1:4" x14ac:dyDescent="0.2">
      <c r="A9" s="21"/>
      <c r="B9" s="45"/>
      <c r="C9" s="141"/>
      <c r="D9" s="141"/>
    </row>
    <row r="10" spans="1:4" x14ac:dyDescent="0.2">
      <c r="A10" s="21"/>
      <c r="B10" s="45"/>
      <c r="C10" s="141"/>
      <c r="D10" s="141"/>
    </row>
    <row r="11" spans="1:4" x14ac:dyDescent="0.2">
      <c r="A11" s="21"/>
      <c r="B11" s="45"/>
      <c r="C11" s="141"/>
      <c r="D11" s="141"/>
    </row>
    <row r="12" spans="1:4" x14ac:dyDescent="0.2">
      <c r="A12" s="21"/>
      <c r="B12" s="45"/>
      <c r="C12" s="141"/>
      <c r="D12" s="141"/>
    </row>
    <row r="13" spans="1:4" x14ac:dyDescent="0.2">
      <c r="A13" s="21"/>
      <c r="B13" s="45"/>
      <c r="C13" s="141"/>
      <c r="D13" s="141"/>
    </row>
    <row r="14" spans="1:4" x14ac:dyDescent="0.2">
      <c r="A14" s="21"/>
      <c r="B14" s="45"/>
      <c r="C14" s="141"/>
      <c r="D14" s="141"/>
    </row>
    <row r="15" spans="1:4" x14ac:dyDescent="0.2">
      <c r="A15" s="21"/>
      <c r="B15" s="45"/>
      <c r="C15" s="142"/>
      <c r="D15" s="142"/>
    </row>
    <row r="16" spans="1:4" ht="15.75" thickBot="1" x14ac:dyDescent="0.25">
      <c r="A16" s="21"/>
      <c r="B16" s="73"/>
      <c r="C16" s="143"/>
      <c r="D16" s="143"/>
    </row>
    <row r="18" spans="1:5" x14ac:dyDescent="0.2">
      <c r="A18" s="14">
        <f>COUNTA(A8:A15)</f>
        <v>0</v>
      </c>
    </row>
    <row r="19" spans="1:5" x14ac:dyDescent="0.2">
      <c r="B19" s="14" t="s">
        <v>258</v>
      </c>
    </row>
    <row r="20" spans="1:5" ht="15.75" thickBot="1" x14ac:dyDescent="0.25">
      <c r="A20" s="70"/>
      <c r="B20" s="70"/>
      <c r="C20" s="70"/>
      <c r="D20" s="70"/>
    </row>
    <row r="21" spans="1:5" x14ac:dyDescent="0.2">
      <c r="A21" s="70"/>
      <c r="B21" s="587" t="s">
        <v>17</v>
      </c>
      <c r="C21" s="587" t="s">
        <v>37</v>
      </c>
      <c r="D21" s="70"/>
    </row>
    <row r="22" spans="1:5" ht="15.75" thickBot="1" x14ac:dyDescent="0.25">
      <c r="A22" s="70"/>
      <c r="B22" s="606"/>
      <c r="C22" s="606"/>
      <c r="D22" s="70"/>
    </row>
    <row r="23" spans="1:5" x14ac:dyDescent="0.2">
      <c r="A23" s="15"/>
      <c r="B23" s="139"/>
      <c r="C23" s="140"/>
      <c r="D23" s="70"/>
    </row>
    <row r="24" spans="1:5" x14ac:dyDescent="0.2">
      <c r="A24" s="21"/>
      <c r="B24" s="45"/>
      <c r="C24" s="141"/>
      <c r="D24" s="258"/>
    </row>
    <row r="25" spans="1:5" x14ac:dyDescent="0.2">
      <c r="A25" s="21"/>
      <c r="B25" s="45"/>
      <c r="C25" s="141"/>
      <c r="D25" s="258"/>
      <c r="E25" s="258"/>
    </row>
    <row r="26" spans="1:5" x14ac:dyDescent="0.2">
      <c r="A26" s="21"/>
      <c r="B26" s="45"/>
      <c r="C26" s="141"/>
      <c r="D26" s="258"/>
    </row>
    <row r="27" spans="1:5" x14ac:dyDescent="0.2">
      <c r="A27" s="21"/>
      <c r="B27" s="45"/>
      <c r="C27" s="141"/>
      <c r="D27" s="258"/>
    </row>
    <row r="28" spans="1:5" x14ac:dyDescent="0.2">
      <c r="A28" s="21"/>
      <c r="B28" s="45"/>
      <c r="C28" s="141"/>
      <c r="D28" s="258"/>
    </row>
    <row r="29" spans="1:5" x14ac:dyDescent="0.2">
      <c r="A29" s="21"/>
      <c r="B29" s="45"/>
      <c r="C29" s="141"/>
      <c r="D29" s="258"/>
    </row>
    <row r="30" spans="1:5" x14ac:dyDescent="0.2">
      <c r="A30" s="21"/>
      <c r="B30" s="45"/>
      <c r="C30" s="141"/>
      <c r="D30" s="258"/>
    </row>
    <row r="31" spans="1:5" x14ac:dyDescent="0.2">
      <c r="A31" s="21"/>
      <c r="B31" s="45"/>
      <c r="C31" s="141"/>
      <c r="D31" s="258"/>
    </row>
    <row r="32" spans="1:5" ht="15.75" thickBot="1" x14ac:dyDescent="0.25">
      <c r="A32" s="259"/>
      <c r="B32" s="260"/>
      <c r="C32" s="261"/>
      <c r="D32" s="258"/>
    </row>
  </sheetData>
  <mergeCells count="5">
    <mergeCell ref="B5:B6"/>
    <mergeCell ref="C5:C6"/>
    <mergeCell ref="D5:D6"/>
    <mergeCell ref="B21:B22"/>
    <mergeCell ref="C21:C22"/>
  </mergeCells>
  <printOptions gridLines="1" gridLinesSet="0"/>
  <pageMargins left="0.75" right="0.75" top="1" bottom="1" header="0.51181102300000003" footer="0.5118110230000000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2"/>
  <sheetViews>
    <sheetView zoomScale="85" zoomScaleNormal="85" workbookViewId="0"/>
  </sheetViews>
  <sheetFormatPr defaultColWidth="11.375" defaultRowHeight="12.75" x14ac:dyDescent="0.2"/>
  <cols>
    <col min="1" max="1" width="6.375" style="176" bestFit="1" customWidth="1"/>
    <col min="2" max="2" width="46.375" style="176" bestFit="1" customWidth="1"/>
    <col min="3" max="11" width="16" style="176" customWidth="1"/>
    <col min="12" max="12" width="14.625" style="176" customWidth="1"/>
    <col min="13" max="13" width="18.25" style="176" customWidth="1"/>
    <col min="14" max="14" width="54.375" style="176" customWidth="1"/>
    <col min="15" max="15" width="32.375" style="176" bestFit="1" customWidth="1"/>
    <col min="16" max="16" width="38.875" style="176" bestFit="1" customWidth="1"/>
    <col min="17" max="17" width="42.375" style="176" bestFit="1" customWidth="1"/>
    <col min="18" max="18" width="41.375" style="176" bestFit="1" customWidth="1"/>
    <col min="19" max="16384" width="11.375" style="176"/>
  </cols>
  <sheetData>
    <row r="1" spans="1:18" ht="15" x14ac:dyDescent="0.2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15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84"/>
      <c r="Q2" s="84" t="s">
        <v>36</v>
      </c>
      <c r="R2" s="70">
        <v>750</v>
      </c>
    </row>
    <row r="3" spans="1:18" ht="15" x14ac:dyDescent="0.2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ht="15.75" thickBo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18" ht="21.6" customHeight="1" x14ac:dyDescent="0.2">
      <c r="A5" s="70"/>
      <c r="B5" s="587" t="s">
        <v>17</v>
      </c>
      <c r="C5" s="623" t="s">
        <v>18</v>
      </c>
      <c r="D5" s="634"/>
      <c r="E5" s="634"/>
      <c r="F5" s="622"/>
      <c r="G5" s="442" t="s">
        <v>19</v>
      </c>
      <c r="H5" s="623" t="s">
        <v>20</v>
      </c>
      <c r="I5" s="634"/>
      <c r="J5" s="634"/>
      <c r="K5" s="622"/>
      <c r="L5" s="589" t="s">
        <v>21</v>
      </c>
      <c r="M5" s="589" t="s">
        <v>22</v>
      </c>
      <c r="N5" s="587" t="s">
        <v>23</v>
      </c>
      <c r="O5" s="593" t="s">
        <v>24</v>
      </c>
      <c r="P5" s="604"/>
      <c r="Q5" s="631"/>
      <c r="R5" s="587" t="s">
        <v>37</v>
      </c>
    </row>
    <row r="6" spans="1:18" ht="21.6" customHeight="1" thickBot="1" x14ac:dyDescent="0.25">
      <c r="A6" s="70"/>
      <c r="B6" s="606"/>
      <c r="C6" s="190" t="s">
        <v>25</v>
      </c>
      <c r="D6" s="88" t="s">
        <v>26</v>
      </c>
      <c r="E6" s="88" t="s">
        <v>27</v>
      </c>
      <c r="F6" s="89" t="s">
        <v>28</v>
      </c>
      <c r="G6" s="89" t="s">
        <v>28</v>
      </c>
      <c r="H6" s="190" t="s">
        <v>25</v>
      </c>
      <c r="I6" s="87" t="s">
        <v>26</v>
      </c>
      <c r="J6" s="88" t="s">
        <v>27</v>
      </c>
      <c r="K6" s="89" t="s">
        <v>28</v>
      </c>
      <c r="L6" s="635"/>
      <c r="M6" s="635"/>
      <c r="N6" s="606"/>
      <c r="O6" s="86" t="s">
        <v>29</v>
      </c>
      <c r="P6" s="426" t="s">
        <v>30</v>
      </c>
      <c r="Q6" s="427" t="s">
        <v>31</v>
      </c>
      <c r="R6" s="633"/>
    </row>
    <row r="7" spans="1:18" ht="15" x14ac:dyDescent="0.2">
      <c r="A7" s="83"/>
      <c r="B7" s="332"/>
      <c r="C7" s="196"/>
      <c r="D7" s="197"/>
      <c r="E7" s="197"/>
      <c r="F7" s="333"/>
      <c r="G7" s="195"/>
      <c r="H7" s="334"/>
      <c r="I7" s="197"/>
      <c r="J7" s="197"/>
      <c r="K7" s="198"/>
      <c r="L7" s="335"/>
      <c r="M7" s="335"/>
      <c r="N7" s="336"/>
      <c r="O7" s="199"/>
      <c r="P7" s="333"/>
      <c r="Q7" s="198"/>
      <c r="R7" s="74"/>
    </row>
    <row r="8" spans="1:18" ht="15" x14ac:dyDescent="0.2">
      <c r="A8" s="21"/>
      <c r="B8" s="34" t="s">
        <v>361</v>
      </c>
      <c r="C8" s="35">
        <f t="shared" ref="C8:C49" si="0">DATE(D8,1,E8)</f>
        <v>42697</v>
      </c>
      <c r="D8" s="36">
        <v>2016</v>
      </c>
      <c r="E8" s="36">
        <v>328</v>
      </c>
      <c r="F8" s="37">
        <v>0.23819444444444446</v>
      </c>
      <c r="G8" s="337"/>
      <c r="H8" s="35"/>
      <c r="I8" s="165"/>
      <c r="J8" s="165"/>
      <c r="K8" s="166"/>
      <c r="L8" s="338"/>
      <c r="M8" s="168"/>
      <c r="N8" s="45"/>
      <c r="O8" s="339"/>
      <c r="P8" s="208"/>
      <c r="Q8" s="399"/>
      <c r="R8" s="209"/>
    </row>
    <row r="9" spans="1:18" ht="15" x14ac:dyDescent="0.2">
      <c r="A9" s="21">
        <v>6</v>
      </c>
      <c r="B9" s="45" t="s">
        <v>374</v>
      </c>
      <c r="C9" s="35">
        <f t="shared" si="0"/>
        <v>42700</v>
      </c>
      <c r="D9" s="36">
        <v>2016</v>
      </c>
      <c r="E9" s="36">
        <v>331</v>
      </c>
      <c r="F9" s="37">
        <v>0.36319444444444399</v>
      </c>
      <c r="G9" s="178">
        <v>0.47013888888888899</v>
      </c>
      <c r="H9" s="35">
        <f t="shared" ref="H9:H48" si="1">DATE(I9,1,J9)</f>
        <v>42700</v>
      </c>
      <c r="I9" s="36">
        <v>2016</v>
      </c>
      <c r="J9" s="36">
        <v>331</v>
      </c>
      <c r="K9" s="37">
        <v>0.83333333333333304</v>
      </c>
      <c r="L9" s="41">
        <v>4000</v>
      </c>
      <c r="M9" s="42">
        <v>162.47999999999999</v>
      </c>
      <c r="N9" s="179" t="s">
        <v>366</v>
      </c>
      <c r="O9" s="180" t="s">
        <v>375</v>
      </c>
      <c r="P9" s="181" t="s">
        <v>376</v>
      </c>
      <c r="Q9" s="400" t="s">
        <v>363</v>
      </c>
      <c r="R9" s="209" t="str">
        <f>VLOOKUP($B9,'CIRS Table IDs'!$B:$P,14,FALSE)</f>
        <v>209,206,209,206,209,206,209,206,209</v>
      </c>
    </row>
    <row r="10" spans="1:18" ht="15" x14ac:dyDescent="0.2">
      <c r="A10" s="21">
        <v>37</v>
      </c>
      <c r="B10" s="45" t="s">
        <v>423</v>
      </c>
      <c r="C10" s="35">
        <f t="shared" si="0"/>
        <v>42709</v>
      </c>
      <c r="D10" s="36">
        <v>2016</v>
      </c>
      <c r="E10" s="36">
        <v>340</v>
      </c>
      <c r="F10" s="37">
        <v>0.54722222222222205</v>
      </c>
      <c r="G10" s="178">
        <v>4.1666666666666699E-2</v>
      </c>
      <c r="H10" s="35">
        <f t="shared" si="1"/>
        <v>42709</v>
      </c>
      <c r="I10" s="36">
        <v>2016</v>
      </c>
      <c r="J10" s="36">
        <v>340</v>
      </c>
      <c r="K10" s="37">
        <v>0.58888888888888902</v>
      </c>
      <c r="L10" s="41">
        <v>400</v>
      </c>
      <c r="M10" s="42">
        <v>1.44</v>
      </c>
      <c r="N10" s="179" t="s">
        <v>370</v>
      </c>
      <c r="O10" s="180" t="s">
        <v>363</v>
      </c>
      <c r="P10" s="181" t="s">
        <v>363</v>
      </c>
      <c r="Q10" s="400" t="s">
        <v>363</v>
      </c>
      <c r="R10" s="209">
        <f>VLOOKUP($B10,'CIRS Table IDs'!$B:$P,14,FALSE)</f>
        <v>192</v>
      </c>
    </row>
    <row r="11" spans="1:18" ht="15" x14ac:dyDescent="0.2">
      <c r="A11" s="21">
        <v>38</v>
      </c>
      <c r="B11" s="45" t="s">
        <v>424</v>
      </c>
      <c r="C11" s="35">
        <f t="shared" si="0"/>
        <v>42709</v>
      </c>
      <c r="D11" s="36">
        <v>2016</v>
      </c>
      <c r="E11" s="36">
        <v>340</v>
      </c>
      <c r="F11" s="37">
        <v>0.58888888888888902</v>
      </c>
      <c r="G11" s="178">
        <v>0.16666666666666699</v>
      </c>
      <c r="H11" s="35">
        <f t="shared" si="1"/>
        <v>42709</v>
      </c>
      <c r="I11" s="36">
        <v>2016</v>
      </c>
      <c r="J11" s="36">
        <v>340</v>
      </c>
      <c r="K11" s="37">
        <v>0.75555555555555598</v>
      </c>
      <c r="L11" s="41">
        <v>4000</v>
      </c>
      <c r="M11" s="42">
        <v>57.6</v>
      </c>
      <c r="N11" s="179" t="s">
        <v>366</v>
      </c>
      <c r="O11" s="180" t="s">
        <v>425</v>
      </c>
      <c r="P11" s="181" t="s">
        <v>426</v>
      </c>
      <c r="Q11" s="400" t="s">
        <v>427</v>
      </c>
      <c r="R11" s="209" t="str">
        <f>VLOOKUP($B11,'CIRS Table IDs'!$B:$P,14,FALSE)</f>
        <v>234,231,234</v>
      </c>
    </row>
    <row r="12" spans="1:18" ht="15" x14ac:dyDescent="0.2">
      <c r="A12" s="21">
        <v>59</v>
      </c>
      <c r="B12" s="45" t="s">
        <v>455</v>
      </c>
      <c r="C12" s="35">
        <f t="shared" si="0"/>
        <v>42720</v>
      </c>
      <c r="D12" s="36">
        <v>2016</v>
      </c>
      <c r="E12" s="36">
        <v>351</v>
      </c>
      <c r="F12" s="37">
        <v>0.90486111111111101</v>
      </c>
      <c r="G12" s="178">
        <v>0.79166666666666696</v>
      </c>
      <c r="H12" s="35">
        <f t="shared" si="1"/>
        <v>42721</v>
      </c>
      <c r="I12" s="36">
        <v>2016</v>
      </c>
      <c r="J12" s="36">
        <v>352</v>
      </c>
      <c r="K12" s="37">
        <v>0.69652777777777797</v>
      </c>
      <c r="L12" s="41">
        <v>400</v>
      </c>
      <c r="M12" s="42">
        <v>27.36</v>
      </c>
      <c r="N12" s="179" t="s">
        <v>370</v>
      </c>
      <c r="O12" s="180" t="s">
        <v>363</v>
      </c>
      <c r="P12" s="181" t="s">
        <v>363</v>
      </c>
      <c r="Q12" s="400" t="s">
        <v>363</v>
      </c>
      <c r="R12" s="209">
        <f>VLOOKUP($B12,'CIRS Table IDs'!$B:$P,14,FALSE)</f>
        <v>192</v>
      </c>
    </row>
    <row r="13" spans="1:18" ht="15" x14ac:dyDescent="0.2">
      <c r="A13" s="21">
        <v>62</v>
      </c>
      <c r="B13" s="45" t="s">
        <v>458</v>
      </c>
      <c r="C13" s="35">
        <f t="shared" si="0"/>
        <v>42722</v>
      </c>
      <c r="D13" s="36">
        <v>2016</v>
      </c>
      <c r="E13" s="36">
        <v>353</v>
      </c>
      <c r="F13" s="37">
        <v>0.25902777777777802</v>
      </c>
      <c r="G13" s="178">
        <v>0.19097222222222199</v>
      </c>
      <c r="H13" s="35">
        <f t="shared" si="1"/>
        <v>42722</v>
      </c>
      <c r="I13" s="36">
        <v>2016</v>
      </c>
      <c r="J13" s="36">
        <v>353</v>
      </c>
      <c r="K13" s="37">
        <v>0.45</v>
      </c>
      <c r="L13" s="41">
        <v>2200</v>
      </c>
      <c r="M13" s="42">
        <v>36.299999999999997</v>
      </c>
      <c r="N13" s="179" t="s">
        <v>366</v>
      </c>
      <c r="O13" s="180" t="s">
        <v>375</v>
      </c>
      <c r="P13" s="181" t="s">
        <v>376</v>
      </c>
      <c r="Q13" s="400" t="s">
        <v>363</v>
      </c>
      <c r="R13" s="209" t="str">
        <f>VLOOKUP($B13,'CIRS Table IDs'!$B:$P,14,FALSE)</f>
        <v>203,200,203</v>
      </c>
    </row>
    <row r="14" spans="1:18" ht="15" x14ac:dyDescent="0.2">
      <c r="A14" s="21">
        <v>64</v>
      </c>
      <c r="B14" s="45" t="s">
        <v>461</v>
      </c>
      <c r="C14" s="35">
        <f t="shared" si="0"/>
        <v>42722</v>
      </c>
      <c r="D14" s="36">
        <v>2016</v>
      </c>
      <c r="E14" s="36">
        <v>353</v>
      </c>
      <c r="F14" s="37">
        <v>0.60624999999999996</v>
      </c>
      <c r="G14" s="178">
        <v>0.163194444444444</v>
      </c>
      <c r="H14" s="35">
        <f t="shared" si="1"/>
        <v>42722</v>
      </c>
      <c r="I14" s="36">
        <v>2016</v>
      </c>
      <c r="J14" s="36">
        <v>353</v>
      </c>
      <c r="K14" s="37">
        <v>0.76944444444444404</v>
      </c>
      <c r="L14" s="41">
        <v>2200</v>
      </c>
      <c r="M14" s="42">
        <v>31.02</v>
      </c>
      <c r="N14" s="179" t="s">
        <v>366</v>
      </c>
      <c r="O14" s="180" t="s">
        <v>425</v>
      </c>
      <c r="P14" s="181" t="s">
        <v>462</v>
      </c>
      <c r="Q14" s="400" t="s">
        <v>427</v>
      </c>
      <c r="R14" s="209" t="str">
        <f>VLOOKUP($B14,'CIRS Table IDs'!$B:$P,14,FALSE)</f>
        <v>203,200,203</v>
      </c>
    </row>
    <row r="15" spans="1:18" ht="15" x14ac:dyDescent="0.2">
      <c r="A15" s="21">
        <v>65</v>
      </c>
      <c r="B15" s="45" t="s">
        <v>464</v>
      </c>
      <c r="C15" s="35">
        <f t="shared" si="0"/>
        <v>42722</v>
      </c>
      <c r="D15" s="36">
        <v>2016</v>
      </c>
      <c r="E15" s="36">
        <v>353</v>
      </c>
      <c r="F15" s="37">
        <v>0.76944444444444404</v>
      </c>
      <c r="G15" s="178">
        <v>6.31944444444444E-2</v>
      </c>
      <c r="H15" s="35">
        <f t="shared" si="1"/>
        <v>42722</v>
      </c>
      <c r="I15" s="36">
        <v>2016</v>
      </c>
      <c r="J15" s="36">
        <v>353</v>
      </c>
      <c r="K15" s="37">
        <v>0.83263888888888904</v>
      </c>
      <c r="L15" s="41">
        <v>2200</v>
      </c>
      <c r="M15" s="42">
        <v>12.012</v>
      </c>
      <c r="N15" s="179" t="s">
        <v>370</v>
      </c>
      <c r="O15" s="180" t="s">
        <v>363</v>
      </c>
      <c r="P15" s="181" t="s">
        <v>363</v>
      </c>
      <c r="Q15" s="400" t="s">
        <v>363</v>
      </c>
      <c r="R15" s="209">
        <f>VLOOKUP($B15,'CIRS Table IDs'!$B:$P,14,FALSE)</f>
        <v>400</v>
      </c>
    </row>
    <row r="16" spans="1:18" ht="15" x14ac:dyDescent="0.2">
      <c r="A16" s="21">
        <v>67</v>
      </c>
      <c r="B16" s="45" t="s">
        <v>466</v>
      </c>
      <c r="C16" s="35">
        <f t="shared" si="0"/>
        <v>42722</v>
      </c>
      <c r="D16" s="36">
        <v>2016</v>
      </c>
      <c r="E16" s="36">
        <v>353</v>
      </c>
      <c r="F16" s="37">
        <v>0.91249999999999998</v>
      </c>
      <c r="G16" s="178">
        <v>6.0416666666666702E-2</v>
      </c>
      <c r="H16" s="35">
        <f t="shared" si="1"/>
        <v>42722</v>
      </c>
      <c r="I16" s="36">
        <v>2016</v>
      </c>
      <c r="J16" s="36">
        <v>353</v>
      </c>
      <c r="K16" s="37">
        <v>0.97291666666666698</v>
      </c>
      <c r="L16" s="41">
        <v>2200</v>
      </c>
      <c r="M16" s="42">
        <v>11.484</v>
      </c>
      <c r="N16" s="179" t="s">
        <v>370</v>
      </c>
      <c r="O16" s="180" t="s">
        <v>363</v>
      </c>
      <c r="P16" s="181" t="s">
        <v>363</v>
      </c>
      <c r="Q16" s="400" t="s">
        <v>363</v>
      </c>
      <c r="R16" s="209">
        <f>VLOOKUP($B16,'CIRS Table IDs'!$B:$P,14,FALSE)</f>
        <v>400</v>
      </c>
    </row>
    <row r="17" spans="1:20" ht="15" x14ac:dyDescent="0.2">
      <c r="A17" s="21">
        <v>68</v>
      </c>
      <c r="B17" s="45" t="s">
        <v>467</v>
      </c>
      <c r="C17" s="35">
        <f t="shared" si="0"/>
        <v>42722</v>
      </c>
      <c r="D17" s="36">
        <v>2016</v>
      </c>
      <c r="E17" s="36">
        <v>353</v>
      </c>
      <c r="F17" s="37">
        <v>0.97291666666666698</v>
      </c>
      <c r="G17" s="178">
        <v>0.16666666666666699</v>
      </c>
      <c r="H17" s="35">
        <f t="shared" si="1"/>
        <v>42723</v>
      </c>
      <c r="I17" s="36">
        <v>2016</v>
      </c>
      <c r="J17" s="36">
        <v>354</v>
      </c>
      <c r="K17" s="37">
        <v>0.139583333333333</v>
      </c>
      <c r="L17" s="41">
        <v>2200</v>
      </c>
      <c r="M17" s="42">
        <v>31.68</v>
      </c>
      <c r="N17" s="179" t="s">
        <v>366</v>
      </c>
      <c r="O17" s="180" t="s">
        <v>425</v>
      </c>
      <c r="P17" s="181" t="s">
        <v>462</v>
      </c>
      <c r="Q17" s="400" t="s">
        <v>427</v>
      </c>
      <c r="R17" s="209" t="str">
        <f>VLOOKUP($B17,'CIRS Table IDs'!$B:$P,14,FALSE)</f>
        <v>203,200,203</v>
      </c>
    </row>
    <row r="18" spans="1:20" ht="15" x14ac:dyDescent="0.2">
      <c r="A18" s="21">
        <v>69</v>
      </c>
      <c r="B18" s="45" t="s">
        <v>469</v>
      </c>
      <c r="C18" s="35">
        <f t="shared" si="0"/>
        <v>42723</v>
      </c>
      <c r="D18" s="36">
        <v>2016</v>
      </c>
      <c r="E18" s="36">
        <v>354</v>
      </c>
      <c r="F18" s="37">
        <v>0.139583333333333</v>
      </c>
      <c r="G18" s="178">
        <v>4.1666666666666699E-2</v>
      </c>
      <c r="H18" s="35">
        <f t="shared" si="1"/>
        <v>42723</v>
      </c>
      <c r="I18" s="36">
        <v>2016</v>
      </c>
      <c r="J18" s="36">
        <v>354</v>
      </c>
      <c r="K18" s="37">
        <v>0.18124999999999999</v>
      </c>
      <c r="L18" s="41">
        <v>400</v>
      </c>
      <c r="M18" s="42">
        <v>1.44</v>
      </c>
      <c r="N18" s="179" t="s">
        <v>370</v>
      </c>
      <c r="O18" s="180" t="s">
        <v>363</v>
      </c>
      <c r="P18" s="181" t="s">
        <v>363</v>
      </c>
      <c r="Q18" s="400" t="s">
        <v>363</v>
      </c>
      <c r="R18" s="209">
        <f>VLOOKUP($B18,'CIRS Table IDs'!$B:$P,14,FALSE)</f>
        <v>192</v>
      </c>
    </row>
    <row r="19" spans="1:20" ht="15" x14ac:dyDescent="0.2">
      <c r="A19" s="21">
        <v>70</v>
      </c>
      <c r="B19" s="45" t="s">
        <v>470</v>
      </c>
      <c r="C19" s="35">
        <f t="shared" si="0"/>
        <v>42723</v>
      </c>
      <c r="D19" s="36">
        <v>2016</v>
      </c>
      <c r="E19" s="36">
        <v>354</v>
      </c>
      <c r="F19" s="37">
        <v>0.18124999999999999</v>
      </c>
      <c r="G19" s="178">
        <v>0.16666666666666699</v>
      </c>
      <c r="H19" s="35">
        <f t="shared" si="1"/>
        <v>42723</v>
      </c>
      <c r="I19" s="36">
        <v>2016</v>
      </c>
      <c r="J19" s="36">
        <v>354</v>
      </c>
      <c r="K19" s="37">
        <v>0.34791666666666698</v>
      </c>
      <c r="L19" s="41">
        <v>2200</v>
      </c>
      <c r="M19" s="42">
        <v>31.68</v>
      </c>
      <c r="N19" s="179" t="s">
        <v>366</v>
      </c>
      <c r="O19" s="180" t="s">
        <v>471</v>
      </c>
      <c r="P19" s="181" t="s">
        <v>472</v>
      </c>
      <c r="Q19" s="400" t="s">
        <v>363</v>
      </c>
      <c r="R19" s="209" t="str">
        <f>VLOOKUP($B19,'CIRS Table IDs'!$B:$P,14,FALSE)</f>
        <v>203,200,203</v>
      </c>
    </row>
    <row r="20" spans="1:20" ht="15" x14ac:dyDescent="0.2">
      <c r="A20" s="21">
        <v>73</v>
      </c>
      <c r="B20" s="45" t="s">
        <v>477</v>
      </c>
      <c r="C20" s="35">
        <f t="shared" si="0"/>
        <v>42724</v>
      </c>
      <c r="D20" s="36">
        <v>2016</v>
      </c>
      <c r="E20" s="36">
        <v>355</v>
      </c>
      <c r="F20" s="37">
        <v>0.34652777777777799</v>
      </c>
      <c r="G20" s="178">
        <v>0.17777777777777801</v>
      </c>
      <c r="H20" s="35">
        <f t="shared" si="1"/>
        <v>42724</v>
      </c>
      <c r="I20" s="36">
        <v>2016</v>
      </c>
      <c r="J20" s="36">
        <v>355</v>
      </c>
      <c r="K20" s="37">
        <v>0.52430555555555602</v>
      </c>
      <c r="L20" s="41">
        <v>4000</v>
      </c>
      <c r="M20" s="42">
        <v>61.44</v>
      </c>
      <c r="N20" s="179" t="s">
        <v>370</v>
      </c>
      <c r="O20" s="180" t="s">
        <v>363</v>
      </c>
      <c r="P20" s="181" t="s">
        <v>363</v>
      </c>
      <c r="Q20" s="400" t="s">
        <v>363</v>
      </c>
      <c r="R20" s="209">
        <f>VLOOKUP($B20,'CIRS Table IDs'!$B:$P,14,FALSE)</f>
        <v>553</v>
      </c>
    </row>
    <row r="21" spans="1:20" ht="15" x14ac:dyDescent="0.2">
      <c r="A21" s="21">
        <v>74</v>
      </c>
      <c r="B21" s="45" t="s">
        <v>478</v>
      </c>
      <c r="C21" s="35">
        <f t="shared" si="0"/>
        <v>42724</v>
      </c>
      <c r="D21" s="36">
        <v>2016</v>
      </c>
      <c r="E21" s="36">
        <v>355</v>
      </c>
      <c r="F21" s="37">
        <v>0.52430555555555602</v>
      </c>
      <c r="G21" s="178">
        <v>0.20833333333333301</v>
      </c>
      <c r="H21" s="35">
        <f t="shared" si="1"/>
        <v>42724</v>
      </c>
      <c r="I21" s="36">
        <v>2016</v>
      </c>
      <c r="J21" s="36">
        <v>355</v>
      </c>
      <c r="K21" s="37">
        <v>0.73263888888888895</v>
      </c>
      <c r="L21" s="41">
        <v>4000</v>
      </c>
      <c r="M21" s="42">
        <v>72</v>
      </c>
      <c r="N21" s="179" t="s">
        <v>366</v>
      </c>
      <c r="O21" s="180" t="s">
        <v>425</v>
      </c>
      <c r="P21" s="181" t="s">
        <v>479</v>
      </c>
      <c r="Q21" s="400" t="s">
        <v>427</v>
      </c>
      <c r="R21" s="209" t="str">
        <f>VLOOKUP($B21,'CIRS Table IDs'!$B:$P,14,FALSE)</f>
        <v>234,231,234</v>
      </c>
    </row>
    <row r="22" spans="1:20" ht="15" x14ac:dyDescent="0.2">
      <c r="A22" s="21">
        <v>76</v>
      </c>
      <c r="B22" s="45" t="s">
        <v>483</v>
      </c>
      <c r="C22" s="35">
        <f t="shared" si="0"/>
        <v>42725</v>
      </c>
      <c r="D22" s="36">
        <v>2016</v>
      </c>
      <c r="E22" s="36">
        <v>356</v>
      </c>
      <c r="F22" s="37">
        <v>0.19166666666666701</v>
      </c>
      <c r="G22" s="178">
        <v>0.55208333333333304</v>
      </c>
      <c r="H22" s="35">
        <f t="shared" si="1"/>
        <v>42725</v>
      </c>
      <c r="I22" s="36">
        <v>2016</v>
      </c>
      <c r="J22" s="36">
        <v>356</v>
      </c>
      <c r="K22" s="37">
        <v>0.74375000000000002</v>
      </c>
      <c r="L22" s="41">
        <v>400</v>
      </c>
      <c r="M22" s="42">
        <v>19.079999999999998</v>
      </c>
      <c r="N22" s="179" t="s">
        <v>370</v>
      </c>
      <c r="O22" s="180" t="s">
        <v>363</v>
      </c>
      <c r="P22" s="181" t="s">
        <v>363</v>
      </c>
      <c r="Q22" s="400" t="s">
        <v>363</v>
      </c>
      <c r="R22" s="209">
        <f>VLOOKUP($B22,'CIRS Table IDs'!$B:$P,14,FALSE)</f>
        <v>192</v>
      </c>
    </row>
    <row r="23" spans="1:20" ht="15" x14ac:dyDescent="0.2">
      <c r="A23" s="21">
        <v>79</v>
      </c>
      <c r="B23" s="45" t="s">
        <v>486</v>
      </c>
      <c r="C23" s="35">
        <f t="shared" si="0"/>
        <v>42727</v>
      </c>
      <c r="D23" s="36">
        <v>2016</v>
      </c>
      <c r="E23" s="36">
        <v>358</v>
      </c>
      <c r="F23" s="37">
        <v>0.17569444444444399</v>
      </c>
      <c r="G23" s="178">
        <v>0.25</v>
      </c>
      <c r="H23" s="35">
        <f t="shared" si="1"/>
        <v>42727</v>
      </c>
      <c r="I23" s="36">
        <v>2016</v>
      </c>
      <c r="J23" s="36">
        <v>358</v>
      </c>
      <c r="K23" s="37">
        <v>0.42569444444444399</v>
      </c>
      <c r="L23" s="41">
        <v>4000</v>
      </c>
      <c r="M23" s="42">
        <v>86.4</v>
      </c>
      <c r="N23" s="179" t="s">
        <v>366</v>
      </c>
      <c r="O23" s="180" t="s">
        <v>425</v>
      </c>
      <c r="P23" s="181" t="s">
        <v>487</v>
      </c>
      <c r="Q23" s="400" t="s">
        <v>363</v>
      </c>
      <c r="R23" s="209" t="str">
        <f>VLOOKUP($B23,'CIRS Table IDs'!$B:$P,14,FALSE)</f>
        <v>234,231,234,231,234</v>
      </c>
    </row>
    <row r="24" spans="1:20" ht="15" x14ac:dyDescent="0.2">
      <c r="A24" s="21">
        <v>86</v>
      </c>
      <c r="B24" s="45" t="s">
        <v>499</v>
      </c>
      <c r="C24" s="35">
        <f t="shared" si="0"/>
        <v>42730</v>
      </c>
      <c r="D24" s="36">
        <v>2016</v>
      </c>
      <c r="E24" s="36">
        <v>361</v>
      </c>
      <c r="F24" s="37">
        <v>0.35416666666666702</v>
      </c>
      <c r="G24" s="178">
        <v>0.16180555555555601</v>
      </c>
      <c r="H24" s="35">
        <f t="shared" si="1"/>
        <v>42730</v>
      </c>
      <c r="I24" s="36">
        <v>2016</v>
      </c>
      <c r="J24" s="36">
        <v>361</v>
      </c>
      <c r="K24" s="37">
        <v>0.51597222222222205</v>
      </c>
      <c r="L24" s="41">
        <v>4000</v>
      </c>
      <c r="M24" s="42">
        <v>55.92</v>
      </c>
      <c r="N24" s="179" t="s">
        <v>366</v>
      </c>
      <c r="O24" s="180" t="s">
        <v>471</v>
      </c>
      <c r="P24" s="181" t="s">
        <v>500</v>
      </c>
      <c r="Q24" s="400" t="s">
        <v>363</v>
      </c>
      <c r="R24" s="209" t="str">
        <f>VLOOKUP($B24,'CIRS Table IDs'!$B:$P,14,FALSE)</f>
        <v>209,206,209</v>
      </c>
    </row>
    <row r="25" spans="1:20" ht="15" x14ac:dyDescent="0.2">
      <c r="A25" s="21">
        <v>87</v>
      </c>
      <c r="B25" s="45" t="s">
        <v>502</v>
      </c>
      <c r="C25" s="35">
        <f t="shared" si="0"/>
        <v>42730</v>
      </c>
      <c r="D25" s="36">
        <v>2016</v>
      </c>
      <c r="E25" s="36">
        <v>361</v>
      </c>
      <c r="F25" s="37">
        <v>0.51597222222222205</v>
      </c>
      <c r="G25" s="178">
        <v>0.16666666666666699</v>
      </c>
      <c r="H25" s="35">
        <f t="shared" si="1"/>
        <v>42730</v>
      </c>
      <c r="I25" s="36">
        <v>2016</v>
      </c>
      <c r="J25" s="36">
        <v>361</v>
      </c>
      <c r="K25" s="37">
        <v>0.68263888888888902</v>
      </c>
      <c r="L25" s="41">
        <v>4000</v>
      </c>
      <c r="M25" s="42">
        <v>57.6</v>
      </c>
      <c r="N25" s="179" t="s">
        <v>366</v>
      </c>
      <c r="O25" s="180" t="s">
        <v>425</v>
      </c>
      <c r="P25" s="181" t="s">
        <v>500</v>
      </c>
      <c r="Q25" s="400" t="s">
        <v>363</v>
      </c>
      <c r="R25" s="209" t="str">
        <f>VLOOKUP($B25,'CIRS Table IDs'!$B:$P,14,FALSE)</f>
        <v>234,231,234</v>
      </c>
    </row>
    <row r="26" spans="1:20" ht="15" x14ac:dyDescent="0.2">
      <c r="A26" s="21">
        <v>98</v>
      </c>
      <c r="B26" s="45" t="s">
        <v>514</v>
      </c>
      <c r="C26" s="35">
        <f t="shared" si="0"/>
        <v>42736</v>
      </c>
      <c r="D26" s="36">
        <v>2017</v>
      </c>
      <c r="E26" s="36">
        <v>1</v>
      </c>
      <c r="F26" s="37">
        <v>0.58750000000000002</v>
      </c>
      <c r="G26" s="178">
        <v>0.17013888888888901</v>
      </c>
      <c r="H26" s="35">
        <f t="shared" si="1"/>
        <v>42736</v>
      </c>
      <c r="I26" s="36">
        <v>2017</v>
      </c>
      <c r="J26" s="36">
        <v>1</v>
      </c>
      <c r="K26" s="37">
        <v>0.75763888888888897</v>
      </c>
      <c r="L26" s="41">
        <v>2200</v>
      </c>
      <c r="M26" s="42">
        <v>32.340000000000003</v>
      </c>
      <c r="N26" s="179" t="s">
        <v>370</v>
      </c>
      <c r="O26" s="180" t="s">
        <v>363</v>
      </c>
      <c r="P26" s="181" t="s">
        <v>363</v>
      </c>
      <c r="Q26" s="400" t="s">
        <v>363</v>
      </c>
      <c r="R26" s="209">
        <f>VLOOKUP($B26,'CIRS Table IDs'!$B:$P,14,FALSE)</f>
        <v>550</v>
      </c>
    </row>
    <row r="27" spans="1:20" ht="15" x14ac:dyDescent="0.2">
      <c r="A27" s="21">
        <v>99</v>
      </c>
      <c r="B27" s="45" t="s">
        <v>515</v>
      </c>
      <c r="C27" s="35">
        <f t="shared" si="0"/>
        <v>42736</v>
      </c>
      <c r="D27" s="36">
        <v>2017</v>
      </c>
      <c r="E27" s="36">
        <v>1</v>
      </c>
      <c r="F27" s="37">
        <v>0.75763888888888897</v>
      </c>
      <c r="G27" s="178">
        <v>0.141666666666667</v>
      </c>
      <c r="H27" s="35">
        <f t="shared" si="1"/>
        <v>42736</v>
      </c>
      <c r="I27" s="36">
        <v>2017</v>
      </c>
      <c r="J27" s="36">
        <v>1</v>
      </c>
      <c r="K27" s="37">
        <v>0.89930555555555503</v>
      </c>
      <c r="L27" s="41">
        <v>2200</v>
      </c>
      <c r="M27" s="42">
        <v>26.928000000000001</v>
      </c>
      <c r="N27" s="179" t="s">
        <v>370</v>
      </c>
      <c r="O27" s="180" t="s">
        <v>363</v>
      </c>
      <c r="P27" s="181" t="s">
        <v>363</v>
      </c>
      <c r="Q27" s="400" t="s">
        <v>363</v>
      </c>
      <c r="R27" s="209">
        <f>VLOOKUP($B27,'CIRS Table IDs'!$B:$P,14,FALSE)</f>
        <v>500</v>
      </c>
    </row>
    <row r="28" spans="1:20" ht="15" x14ac:dyDescent="0.2">
      <c r="A28" s="21">
        <v>100</v>
      </c>
      <c r="B28" s="45" t="s">
        <v>516</v>
      </c>
      <c r="C28" s="35">
        <f t="shared" si="0"/>
        <v>42736</v>
      </c>
      <c r="D28" s="36">
        <v>2017</v>
      </c>
      <c r="E28" s="36">
        <v>1</v>
      </c>
      <c r="F28" s="37">
        <v>0.89930555555555503</v>
      </c>
      <c r="G28" s="178">
        <v>0.16111111111111101</v>
      </c>
      <c r="H28" s="35">
        <f t="shared" si="1"/>
        <v>42737</v>
      </c>
      <c r="I28" s="36">
        <v>2017</v>
      </c>
      <c r="J28" s="36">
        <v>2</v>
      </c>
      <c r="K28" s="37">
        <v>6.0416666666666702E-2</v>
      </c>
      <c r="L28" s="41">
        <v>2200</v>
      </c>
      <c r="M28" s="42">
        <v>30.623999999999999</v>
      </c>
      <c r="N28" s="179" t="s">
        <v>366</v>
      </c>
      <c r="O28" s="180" t="s">
        <v>471</v>
      </c>
      <c r="P28" s="181" t="s">
        <v>517</v>
      </c>
      <c r="Q28" s="400" t="s">
        <v>363</v>
      </c>
      <c r="R28" s="209" t="str">
        <f>VLOOKUP($B28,'CIRS Table IDs'!$B:$P,14,FALSE)</f>
        <v>203,200,203</v>
      </c>
    </row>
    <row r="29" spans="1:20" s="15" customFormat="1" ht="15" x14ac:dyDescent="0.2">
      <c r="A29" s="21">
        <v>101</v>
      </c>
      <c r="B29" s="45" t="s">
        <v>519</v>
      </c>
      <c r="C29" s="35">
        <f t="shared" si="0"/>
        <v>42737</v>
      </c>
      <c r="D29" s="36">
        <v>2017</v>
      </c>
      <c r="E29" s="36">
        <v>2</v>
      </c>
      <c r="F29" s="37">
        <v>6.0416666666666702E-2</v>
      </c>
      <c r="G29" s="178">
        <v>0.125</v>
      </c>
      <c r="H29" s="35">
        <f t="shared" si="1"/>
        <v>42737</v>
      </c>
      <c r="I29" s="36">
        <v>2017</v>
      </c>
      <c r="J29" s="36">
        <v>2</v>
      </c>
      <c r="K29" s="37">
        <v>0.18541666666666701</v>
      </c>
      <c r="L29" s="41">
        <v>4000</v>
      </c>
      <c r="M29" s="42">
        <v>43.2</v>
      </c>
      <c r="N29" s="179" t="s">
        <v>370</v>
      </c>
      <c r="O29" s="183"/>
      <c r="P29" s="184"/>
      <c r="Q29" s="401"/>
      <c r="R29" s="209">
        <f>VLOOKUP($B29,'CIRS Table IDs'!$B:$P,14,FALSE)</f>
        <v>453</v>
      </c>
      <c r="S29" s="176"/>
      <c r="T29" s="176"/>
    </row>
    <row r="30" spans="1:20" s="15" customFormat="1" ht="15" x14ac:dyDescent="0.2">
      <c r="A30" s="21">
        <v>103</v>
      </c>
      <c r="B30" s="45" t="s">
        <v>523</v>
      </c>
      <c r="C30" s="35">
        <f t="shared" si="0"/>
        <v>42737</v>
      </c>
      <c r="D30" s="36">
        <v>2017</v>
      </c>
      <c r="E30" s="36">
        <v>2</v>
      </c>
      <c r="F30" s="37">
        <v>0.52777777777777801</v>
      </c>
      <c r="G30" s="178">
        <v>8.3333333333333301E-2</v>
      </c>
      <c r="H30" s="35">
        <f t="shared" si="1"/>
        <v>42737</v>
      </c>
      <c r="I30" s="36">
        <v>2017</v>
      </c>
      <c r="J30" s="36">
        <v>2</v>
      </c>
      <c r="K30" s="37">
        <v>0.61111111111111105</v>
      </c>
      <c r="L30" s="41">
        <v>400</v>
      </c>
      <c r="M30" s="42">
        <v>2.88</v>
      </c>
      <c r="N30" s="179" t="s">
        <v>370</v>
      </c>
      <c r="O30" s="183"/>
      <c r="P30" s="184"/>
      <c r="Q30" s="401"/>
      <c r="R30" s="209">
        <f>VLOOKUP($B30,'CIRS Table IDs'!$B:$P,14,FALSE)</f>
        <v>192</v>
      </c>
      <c r="S30" s="176"/>
      <c r="T30" s="176"/>
    </row>
    <row r="31" spans="1:20" ht="15" x14ac:dyDescent="0.2">
      <c r="A31" s="21">
        <v>104</v>
      </c>
      <c r="B31" s="45" t="s">
        <v>524</v>
      </c>
      <c r="C31" s="35">
        <f t="shared" si="0"/>
        <v>42737</v>
      </c>
      <c r="D31" s="36">
        <v>2017</v>
      </c>
      <c r="E31" s="36">
        <v>2</v>
      </c>
      <c r="F31" s="37">
        <v>0.61111111111111105</v>
      </c>
      <c r="G31" s="178">
        <v>0.125</v>
      </c>
      <c r="H31" s="35">
        <f t="shared" si="1"/>
        <v>42737</v>
      </c>
      <c r="I31" s="36">
        <v>2017</v>
      </c>
      <c r="J31" s="36">
        <v>2</v>
      </c>
      <c r="K31" s="37">
        <v>0.73611111111111105</v>
      </c>
      <c r="L31" s="41">
        <v>2200</v>
      </c>
      <c r="M31" s="42">
        <v>23.76</v>
      </c>
      <c r="N31" s="179" t="s">
        <v>370</v>
      </c>
      <c r="O31" s="183"/>
      <c r="P31" s="184"/>
      <c r="Q31" s="401"/>
      <c r="R31" s="209">
        <f>VLOOKUP($B31,'CIRS Table IDs'!$B:$P,14,FALSE)</f>
        <v>450</v>
      </c>
    </row>
    <row r="32" spans="1:20" ht="15" x14ac:dyDescent="0.2">
      <c r="A32" s="21">
        <v>105</v>
      </c>
      <c r="B32" s="45" t="s">
        <v>525</v>
      </c>
      <c r="C32" s="35">
        <f t="shared" si="0"/>
        <v>42737</v>
      </c>
      <c r="D32" s="36">
        <v>2017</v>
      </c>
      <c r="E32" s="36">
        <v>2</v>
      </c>
      <c r="F32" s="37">
        <v>0.73611111111111105</v>
      </c>
      <c r="G32" s="178">
        <v>0.20833333333333301</v>
      </c>
      <c r="H32" s="35">
        <f t="shared" si="1"/>
        <v>42737</v>
      </c>
      <c r="I32" s="36">
        <v>2017</v>
      </c>
      <c r="J32" s="36">
        <v>2</v>
      </c>
      <c r="K32" s="37">
        <v>0.94444444444444497</v>
      </c>
      <c r="L32" s="41">
        <v>2200</v>
      </c>
      <c r="M32" s="42">
        <v>39.6</v>
      </c>
      <c r="N32" s="179" t="s">
        <v>366</v>
      </c>
      <c r="O32" s="180" t="s">
        <v>425</v>
      </c>
      <c r="P32" s="181" t="s">
        <v>526</v>
      </c>
      <c r="Q32" s="400" t="s">
        <v>363</v>
      </c>
      <c r="R32" s="209" t="str">
        <f>VLOOKUP($B32,'CIRS Table IDs'!$B:$P,14,FALSE)</f>
        <v>203,200,203</v>
      </c>
    </row>
    <row r="33" spans="1:18" ht="15" x14ac:dyDescent="0.2">
      <c r="A33" s="21">
        <v>107</v>
      </c>
      <c r="B33" s="45" t="s">
        <v>530</v>
      </c>
      <c r="C33" s="35">
        <f t="shared" si="0"/>
        <v>42738</v>
      </c>
      <c r="D33" s="36">
        <v>2017</v>
      </c>
      <c r="E33" s="36">
        <v>3</v>
      </c>
      <c r="F33" s="37">
        <v>0.92291666666666705</v>
      </c>
      <c r="G33" s="178">
        <v>0.16666666666666699</v>
      </c>
      <c r="H33" s="35">
        <f t="shared" si="1"/>
        <v>42739</v>
      </c>
      <c r="I33" s="36">
        <v>2017</v>
      </c>
      <c r="J33" s="36">
        <v>4</v>
      </c>
      <c r="K33" s="37">
        <v>8.9583333333333307E-2</v>
      </c>
      <c r="L33" s="41">
        <v>2200</v>
      </c>
      <c r="M33" s="42">
        <v>31.68</v>
      </c>
      <c r="N33" s="179" t="s">
        <v>366</v>
      </c>
      <c r="O33" s="183" t="s">
        <v>425</v>
      </c>
      <c r="P33" s="184" t="s">
        <v>531</v>
      </c>
      <c r="Q33" s="401" t="s">
        <v>427</v>
      </c>
      <c r="R33" s="209" t="str">
        <f>VLOOKUP($B33,'CIRS Table IDs'!$B:$P,14,FALSE)</f>
        <v>228,225,228</v>
      </c>
    </row>
    <row r="34" spans="1:18" ht="15" x14ac:dyDescent="0.2">
      <c r="A34" s="21">
        <v>108</v>
      </c>
      <c r="B34" s="45" t="s">
        <v>533</v>
      </c>
      <c r="C34" s="35">
        <f t="shared" si="0"/>
        <v>42739</v>
      </c>
      <c r="D34" s="36">
        <v>2017</v>
      </c>
      <c r="E34" s="36">
        <v>4</v>
      </c>
      <c r="F34" s="37">
        <v>8.9583333333333307E-2</v>
      </c>
      <c r="G34" s="178">
        <v>0.41041666666666698</v>
      </c>
      <c r="H34" s="35">
        <f t="shared" si="1"/>
        <v>42739</v>
      </c>
      <c r="I34" s="36">
        <v>2017</v>
      </c>
      <c r="J34" s="36">
        <v>4</v>
      </c>
      <c r="K34" s="37">
        <v>0.5</v>
      </c>
      <c r="L34" s="41">
        <v>2200</v>
      </c>
      <c r="M34" s="42">
        <v>78.012</v>
      </c>
      <c r="N34" s="179" t="s">
        <v>366</v>
      </c>
      <c r="O34" s="183" t="s">
        <v>425</v>
      </c>
      <c r="P34" s="184" t="s">
        <v>368</v>
      </c>
      <c r="Q34" s="401"/>
      <c r="R34" s="514">
        <f>VLOOKUP($B34,'CIRS Table IDs'!$B:$P,14,FALSE)</f>
        <v>203200203200203</v>
      </c>
    </row>
    <row r="35" spans="1:18" ht="15" x14ac:dyDescent="0.2">
      <c r="A35" s="21">
        <v>109</v>
      </c>
      <c r="B35" s="45" t="s">
        <v>535</v>
      </c>
      <c r="C35" s="35">
        <f t="shared" si="0"/>
        <v>42739</v>
      </c>
      <c r="D35" s="36">
        <v>2017</v>
      </c>
      <c r="E35" s="36">
        <v>4</v>
      </c>
      <c r="F35" s="37">
        <v>0.5</v>
      </c>
      <c r="G35" s="178">
        <v>0.32569444444444401</v>
      </c>
      <c r="H35" s="35">
        <f t="shared" si="1"/>
        <v>42739</v>
      </c>
      <c r="I35" s="36">
        <v>2017</v>
      </c>
      <c r="J35" s="36">
        <v>4</v>
      </c>
      <c r="K35" s="37">
        <v>0.82569444444444395</v>
      </c>
      <c r="L35" s="41">
        <v>2200</v>
      </c>
      <c r="M35" s="42">
        <v>61.908000000000001</v>
      </c>
      <c r="N35" s="179" t="s">
        <v>370</v>
      </c>
      <c r="O35" s="183"/>
      <c r="P35" s="184"/>
      <c r="Q35" s="401"/>
      <c r="R35" s="209">
        <f>VLOOKUP($B35,'CIRS Table IDs'!$B:$P,14,FALSE)</f>
        <v>500</v>
      </c>
    </row>
    <row r="36" spans="1:18" ht="15" x14ac:dyDescent="0.2">
      <c r="A36" s="21">
        <v>111</v>
      </c>
      <c r="B36" s="45" t="s">
        <v>537</v>
      </c>
      <c r="C36" s="35">
        <f t="shared" si="0"/>
        <v>42740</v>
      </c>
      <c r="D36" s="36">
        <v>2017</v>
      </c>
      <c r="E36" s="36">
        <v>5</v>
      </c>
      <c r="F36" s="37">
        <v>0.29097222222222202</v>
      </c>
      <c r="G36" s="178">
        <v>0.41111111111111098</v>
      </c>
      <c r="H36" s="35">
        <f t="shared" si="1"/>
        <v>42740</v>
      </c>
      <c r="I36" s="36">
        <v>2017</v>
      </c>
      <c r="J36" s="36">
        <v>5</v>
      </c>
      <c r="K36" s="37">
        <v>0.70208333333333295</v>
      </c>
      <c r="L36" s="41">
        <v>2200</v>
      </c>
      <c r="M36" s="42">
        <v>78.144000000000005</v>
      </c>
      <c r="N36" s="179" t="s">
        <v>366</v>
      </c>
      <c r="O36" s="183" t="s">
        <v>425</v>
      </c>
      <c r="P36" s="184" t="s">
        <v>538</v>
      </c>
      <c r="Q36" s="401"/>
      <c r="R36" s="514">
        <f>VLOOKUP($B36,'CIRS Table IDs'!$B:$P,14,FALSE)</f>
        <v>203200203200203</v>
      </c>
    </row>
    <row r="37" spans="1:18" ht="15" x14ac:dyDescent="0.2">
      <c r="A37" s="21">
        <v>114</v>
      </c>
      <c r="B37" s="45" t="s">
        <v>542</v>
      </c>
      <c r="C37" s="35">
        <f t="shared" si="0"/>
        <v>42742</v>
      </c>
      <c r="D37" s="36">
        <v>2017</v>
      </c>
      <c r="E37" s="36">
        <v>7</v>
      </c>
      <c r="F37" s="37">
        <v>0.131944444444444</v>
      </c>
      <c r="G37" s="178">
        <v>0.35763888888888901</v>
      </c>
      <c r="H37" s="35">
        <f t="shared" si="1"/>
        <v>42742</v>
      </c>
      <c r="I37" s="36">
        <v>2017</v>
      </c>
      <c r="J37" s="36">
        <v>7</v>
      </c>
      <c r="K37" s="37">
        <v>0.48958333333333298</v>
      </c>
      <c r="L37" s="41">
        <v>2200</v>
      </c>
      <c r="M37" s="42">
        <v>67.98</v>
      </c>
      <c r="N37" s="179" t="s">
        <v>370</v>
      </c>
      <c r="O37" s="183"/>
      <c r="P37" s="184"/>
      <c r="Q37" s="401"/>
      <c r="R37" s="209">
        <f>VLOOKUP($B37,'CIRS Table IDs'!$B:$P,14,FALSE)</f>
        <v>550</v>
      </c>
    </row>
    <row r="38" spans="1:18" ht="15" x14ac:dyDescent="0.2">
      <c r="A38" s="21">
        <v>115</v>
      </c>
      <c r="B38" s="45" t="s">
        <v>543</v>
      </c>
      <c r="C38" s="35">
        <f t="shared" si="0"/>
        <v>42742</v>
      </c>
      <c r="D38" s="36">
        <v>2017</v>
      </c>
      <c r="E38" s="36">
        <v>7</v>
      </c>
      <c r="F38" s="37">
        <v>0.48958333333333298</v>
      </c>
      <c r="G38" s="178">
        <v>0.25</v>
      </c>
      <c r="H38" s="35">
        <f t="shared" si="1"/>
        <v>42742</v>
      </c>
      <c r="I38" s="36">
        <v>2017</v>
      </c>
      <c r="J38" s="36">
        <v>7</v>
      </c>
      <c r="K38" s="37">
        <v>0.73958333333333304</v>
      </c>
      <c r="L38" s="41">
        <v>2200</v>
      </c>
      <c r="M38" s="42">
        <v>47.52</v>
      </c>
      <c r="N38" s="179" t="s">
        <v>366</v>
      </c>
      <c r="O38" s="183" t="s">
        <v>425</v>
      </c>
      <c r="P38" s="184" t="s">
        <v>531</v>
      </c>
      <c r="Q38" s="401" t="s">
        <v>427</v>
      </c>
      <c r="R38" s="209" t="str">
        <f>VLOOKUP($B38,'CIRS Table IDs'!$B:$P,14,FALSE)</f>
        <v>228,225,228,225,228</v>
      </c>
    </row>
    <row r="39" spans="1:18" ht="15" x14ac:dyDescent="0.2">
      <c r="A39" s="21">
        <v>116</v>
      </c>
      <c r="B39" s="45" t="s">
        <v>546</v>
      </c>
      <c r="C39" s="35">
        <f t="shared" si="0"/>
        <v>42742</v>
      </c>
      <c r="D39" s="36">
        <v>2017</v>
      </c>
      <c r="E39" s="36">
        <v>7</v>
      </c>
      <c r="F39" s="37">
        <v>0.73958333333333304</v>
      </c>
      <c r="G39" s="178">
        <v>0.65625</v>
      </c>
      <c r="H39" s="35">
        <f t="shared" si="1"/>
        <v>42743</v>
      </c>
      <c r="I39" s="36">
        <v>2017</v>
      </c>
      <c r="J39" s="36">
        <v>8</v>
      </c>
      <c r="K39" s="37">
        <v>0.39583333333333298</v>
      </c>
      <c r="L39" s="41">
        <v>400</v>
      </c>
      <c r="M39" s="42">
        <v>22.68</v>
      </c>
      <c r="N39" s="179" t="s">
        <v>370</v>
      </c>
      <c r="O39" s="183"/>
      <c r="P39" s="184"/>
      <c r="Q39" s="401"/>
      <c r="R39" s="209">
        <f>VLOOKUP($B39,'CIRS Table IDs'!$B:$P,14,FALSE)</f>
        <v>192</v>
      </c>
    </row>
    <row r="40" spans="1:18" ht="15" x14ac:dyDescent="0.2">
      <c r="A40" s="21">
        <v>119</v>
      </c>
      <c r="B40" s="45" t="s">
        <v>549</v>
      </c>
      <c r="C40" s="35">
        <f t="shared" si="0"/>
        <v>42743</v>
      </c>
      <c r="D40" s="36">
        <v>2017</v>
      </c>
      <c r="E40" s="36">
        <v>8</v>
      </c>
      <c r="F40" s="37">
        <v>0.98819444444444404</v>
      </c>
      <c r="G40" s="178">
        <v>3.3333333333333298E-2</v>
      </c>
      <c r="H40" s="35">
        <f t="shared" si="1"/>
        <v>42744</v>
      </c>
      <c r="I40" s="36">
        <v>2017</v>
      </c>
      <c r="J40" s="36">
        <v>9</v>
      </c>
      <c r="K40" s="37">
        <v>2.1527777777777798E-2</v>
      </c>
      <c r="L40" s="41">
        <v>400</v>
      </c>
      <c r="M40" s="42">
        <v>1.1519999999999999</v>
      </c>
      <c r="N40" s="179" t="s">
        <v>370</v>
      </c>
      <c r="O40" s="183"/>
      <c r="P40" s="184"/>
      <c r="Q40" s="401"/>
      <c r="R40" s="209">
        <f>VLOOKUP($B40,'CIRS Table IDs'!$B:$P,14,FALSE)</f>
        <v>192</v>
      </c>
    </row>
    <row r="41" spans="1:18" ht="15" x14ac:dyDescent="0.2">
      <c r="A41" s="21">
        <v>120</v>
      </c>
      <c r="B41" s="45" t="s">
        <v>550</v>
      </c>
      <c r="C41" s="35">
        <f t="shared" si="0"/>
        <v>42744</v>
      </c>
      <c r="D41" s="36">
        <v>2017</v>
      </c>
      <c r="E41" s="36">
        <v>9</v>
      </c>
      <c r="F41" s="37">
        <v>6.31944444444444E-2</v>
      </c>
      <c r="G41" s="178">
        <v>8.2638888888888901E-2</v>
      </c>
      <c r="H41" s="35">
        <f t="shared" si="1"/>
        <v>42744</v>
      </c>
      <c r="I41" s="36">
        <v>2017</v>
      </c>
      <c r="J41" s="36">
        <v>9</v>
      </c>
      <c r="K41" s="37">
        <v>0.14583333333333301</v>
      </c>
      <c r="L41" s="41">
        <v>2200</v>
      </c>
      <c r="M41" s="42">
        <v>15.708</v>
      </c>
      <c r="N41" s="179" t="s">
        <v>370</v>
      </c>
      <c r="O41" s="180" t="s">
        <v>363</v>
      </c>
      <c r="P41" s="181" t="s">
        <v>363</v>
      </c>
      <c r="Q41" s="400" t="s">
        <v>363</v>
      </c>
      <c r="R41" s="209">
        <f>VLOOKUP($B41,'CIRS Table IDs'!$B:$P,14,FALSE)</f>
        <v>400</v>
      </c>
    </row>
    <row r="42" spans="1:18" ht="15" x14ac:dyDescent="0.2">
      <c r="A42" s="21">
        <v>121</v>
      </c>
      <c r="B42" s="45" t="s">
        <v>551</v>
      </c>
      <c r="C42" s="35">
        <f t="shared" si="0"/>
        <v>42744</v>
      </c>
      <c r="D42" s="36">
        <v>2017</v>
      </c>
      <c r="E42" s="36">
        <v>9</v>
      </c>
      <c r="F42" s="37">
        <v>0.14583333333333301</v>
      </c>
      <c r="G42" s="178">
        <v>0.104166666666667</v>
      </c>
      <c r="H42" s="35">
        <f t="shared" si="1"/>
        <v>42744</v>
      </c>
      <c r="I42" s="36">
        <v>2017</v>
      </c>
      <c r="J42" s="36">
        <v>9</v>
      </c>
      <c r="K42" s="37">
        <v>0.25</v>
      </c>
      <c r="L42" s="41">
        <v>2200</v>
      </c>
      <c r="M42" s="42">
        <v>19.8</v>
      </c>
      <c r="N42" s="179" t="s">
        <v>370</v>
      </c>
      <c r="O42" s="180" t="s">
        <v>363</v>
      </c>
      <c r="P42" s="181" t="s">
        <v>363</v>
      </c>
      <c r="Q42" s="400" t="s">
        <v>363</v>
      </c>
      <c r="R42" s="209">
        <f>VLOOKUP($B42,'CIRS Table IDs'!$B:$P,14,FALSE)</f>
        <v>450</v>
      </c>
    </row>
    <row r="43" spans="1:18" ht="15" x14ac:dyDescent="0.2">
      <c r="A43" s="21">
        <v>122</v>
      </c>
      <c r="B43" s="45" t="s">
        <v>552</v>
      </c>
      <c r="C43" s="35">
        <f t="shared" si="0"/>
        <v>42744</v>
      </c>
      <c r="D43" s="36">
        <v>2017</v>
      </c>
      <c r="E43" s="36">
        <v>9</v>
      </c>
      <c r="F43" s="37">
        <v>0.25</v>
      </c>
      <c r="G43" s="178">
        <v>9.7222222222222196E-2</v>
      </c>
      <c r="H43" s="35">
        <f t="shared" si="1"/>
        <v>42744</v>
      </c>
      <c r="I43" s="36">
        <v>2017</v>
      </c>
      <c r="J43" s="36">
        <v>9</v>
      </c>
      <c r="K43" s="37">
        <v>0.34722222222222199</v>
      </c>
      <c r="L43" s="41">
        <v>2200</v>
      </c>
      <c r="M43" s="42">
        <v>18.48</v>
      </c>
      <c r="N43" s="179" t="s">
        <v>370</v>
      </c>
      <c r="O43" s="180" t="s">
        <v>363</v>
      </c>
      <c r="P43" s="181" t="s">
        <v>363</v>
      </c>
      <c r="Q43" s="400" t="s">
        <v>363</v>
      </c>
      <c r="R43" s="209">
        <f>VLOOKUP($B43,'CIRS Table IDs'!$B:$P,14,FALSE)</f>
        <v>450</v>
      </c>
    </row>
    <row r="44" spans="1:18" ht="15" x14ac:dyDescent="0.2">
      <c r="A44" s="21">
        <v>124</v>
      </c>
      <c r="B44" s="45" t="s">
        <v>554</v>
      </c>
      <c r="C44" s="35">
        <f t="shared" si="0"/>
        <v>42744</v>
      </c>
      <c r="D44" s="36">
        <v>2017</v>
      </c>
      <c r="E44" s="36">
        <v>9</v>
      </c>
      <c r="F44" s="37">
        <v>0.625</v>
      </c>
      <c r="G44" s="178">
        <v>0.25</v>
      </c>
      <c r="H44" s="35">
        <f t="shared" si="1"/>
        <v>42744</v>
      </c>
      <c r="I44" s="36">
        <v>2017</v>
      </c>
      <c r="J44" s="36">
        <v>9</v>
      </c>
      <c r="K44" s="37">
        <v>0.875</v>
      </c>
      <c r="L44" s="41">
        <v>2200</v>
      </c>
      <c r="M44" s="42">
        <v>47.52</v>
      </c>
      <c r="N44" s="179" t="s">
        <v>366</v>
      </c>
      <c r="O44" s="180" t="s">
        <v>471</v>
      </c>
      <c r="P44" s="181" t="s">
        <v>555</v>
      </c>
      <c r="Q44" s="400" t="s">
        <v>363</v>
      </c>
      <c r="R44" s="209" t="str">
        <f>VLOOKUP($B44,'CIRS Table IDs'!$B:$P,14,FALSE)</f>
        <v>203,200,203,200,203</v>
      </c>
    </row>
    <row r="45" spans="1:18" ht="15" x14ac:dyDescent="0.2">
      <c r="A45" s="21">
        <v>125</v>
      </c>
      <c r="B45" s="45" t="s">
        <v>558</v>
      </c>
      <c r="C45" s="35">
        <f t="shared" si="0"/>
        <v>42744</v>
      </c>
      <c r="D45" s="36">
        <v>2017</v>
      </c>
      <c r="E45" s="36">
        <v>9</v>
      </c>
      <c r="F45" s="37">
        <v>0.875</v>
      </c>
      <c r="G45" s="178">
        <v>0.15</v>
      </c>
      <c r="H45" s="35">
        <f t="shared" si="1"/>
        <v>42745</v>
      </c>
      <c r="I45" s="36">
        <v>2017</v>
      </c>
      <c r="J45" s="36">
        <v>10</v>
      </c>
      <c r="K45" s="37">
        <v>2.5000000000000001E-2</v>
      </c>
      <c r="L45" s="41">
        <v>400</v>
      </c>
      <c r="M45" s="42">
        <v>5.1840000000000002</v>
      </c>
      <c r="N45" s="179" t="s">
        <v>370</v>
      </c>
      <c r="O45" s="180" t="s">
        <v>363</v>
      </c>
      <c r="P45" s="181" t="s">
        <v>363</v>
      </c>
      <c r="Q45" s="400" t="s">
        <v>363</v>
      </c>
      <c r="R45" s="209">
        <f>VLOOKUP($B45,'CIRS Table IDs'!$B:$P,14,FALSE)</f>
        <v>192</v>
      </c>
    </row>
    <row r="46" spans="1:18" ht="15" x14ac:dyDescent="0.2">
      <c r="A46" s="21">
        <v>126</v>
      </c>
      <c r="B46" s="45" t="s">
        <v>559</v>
      </c>
      <c r="C46" s="35">
        <f t="shared" si="0"/>
        <v>42745</v>
      </c>
      <c r="D46" s="36">
        <v>2017</v>
      </c>
      <c r="E46" s="36">
        <v>10</v>
      </c>
      <c r="F46" s="37">
        <v>2.5000000000000001E-2</v>
      </c>
      <c r="G46" s="178">
        <v>2.7777777777777801E-2</v>
      </c>
      <c r="H46" s="35">
        <f t="shared" si="1"/>
        <v>42745</v>
      </c>
      <c r="I46" s="36">
        <v>2017</v>
      </c>
      <c r="J46" s="36">
        <v>10</v>
      </c>
      <c r="K46" s="37">
        <v>5.2777777777777798E-2</v>
      </c>
      <c r="L46" s="41">
        <v>400</v>
      </c>
      <c r="M46" s="42">
        <v>0.96</v>
      </c>
      <c r="N46" s="179" t="s">
        <v>370</v>
      </c>
      <c r="O46" s="180" t="s">
        <v>363</v>
      </c>
      <c r="P46" s="181" t="s">
        <v>363</v>
      </c>
      <c r="Q46" s="400" t="s">
        <v>363</v>
      </c>
      <c r="R46" s="209">
        <f>VLOOKUP($B46,'CIRS Table IDs'!$B:$P,14,FALSE)</f>
        <v>192</v>
      </c>
    </row>
    <row r="47" spans="1:18" ht="15" x14ac:dyDescent="0.2">
      <c r="A47" s="21">
        <v>128</v>
      </c>
      <c r="B47" s="45" t="s">
        <v>561</v>
      </c>
      <c r="C47" s="35">
        <f t="shared" si="0"/>
        <v>42745</v>
      </c>
      <c r="D47" s="36">
        <v>2017</v>
      </c>
      <c r="E47" s="36">
        <v>10</v>
      </c>
      <c r="F47" s="37">
        <v>0.83333333333333304</v>
      </c>
      <c r="G47" s="178">
        <v>0.19166666666666701</v>
      </c>
      <c r="H47" s="35">
        <f t="shared" si="1"/>
        <v>42746</v>
      </c>
      <c r="I47" s="36">
        <v>2017</v>
      </c>
      <c r="J47" s="36">
        <v>11</v>
      </c>
      <c r="K47" s="37">
        <v>2.5000000000000001E-2</v>
      </c>
      <c r="L47" s="41">
        <v>400</v>
      </c>
      <c r="M47" s="42">
        <v>6.6239999999999997</v>
      </c>
      <c r="N47" s="179" t="s">
        <v>370</v>
      </c>
      <c r="O47" s="180" t="s">
        <v>363</v>
      </c>
      <c r="P47" s="181" t="s">
        <v>363</v>
      </c>
      <c r="Q47" s="400" t="s">
        <v>363</v>
      </c>
      <c r="R47" s="209">
        <f>VLOOKUP($B47,'CIRS Table IDs'!$B:$P,14,FALSE)</f>
        <v>192</v>
      </c>
    </row>
    <row r="48" spans="1:18" ht="15.75" thickBot="1" x14ac:dyDescent="0.25">
      <c r="A48" s="21">
        <v>130</v>
      </c>
      <c r="B48" s="45" t="s">
        <v>563</v>
      </c>
      <c r="C48" s="35">
        <f t="shared" si="0"/>
        <v>42746</v>
      </c>
      <c r="D48" s="36">
        <v>2017</v>
      </c>
      <c r="E48" s="36">
        <v>11</v>
      </c>
      <c r="F48" s="37">
        <v>8.7499999999999994E-2</v>
      </c>
      <c r="G48" s="178">
        <v>0.33194444444444399</v>
      </c>
      <c r="H48" s="35">
        <f t="shared" si="1"/>
        <v>42746</v>
      </c>
      <c r="I48" s="36">
        <v>2017</v>
      </c>
      <c r="J48" s="36">
        <v>11</v>
      </c>
      <c r="K48" s="37">
        <v>0.41944444444444401</v>
      </c>
      <c r="L48" s="41">
        <v>400</v>
      </c>
      <c r="M48" s="42">
        <v>11.472</v>
      </c>
      <c r="N48" s="179" t="s">
        <v>370</v>
      </c>
      <c r="O48" s="180" t="s">
        <v>363</v>
      </c>
      <c r="P48" s="402" t="s">
        <v>363</v>
      </c>
      <c r="Q48" s="403" t="s">
        <v>363</v>
      </c>
      <c r="R48" s="388">
        <f>VLOOKUP($B48,'CIRS Table IDs'!$B:$P,14,FALSE)</f>
        <v>192</v>
      </c>
    </row>
    <row r="49" spans="1:20" ht="15.75" thickBot="1" x14ac:dyDescent="0.25">
      <c r="A49" s="83"/>
      <c r="B49" s="50" t="s">
        <v>362</v>
      </c>
      <c r="C49" s="51">
        <f t="shared" si="0"/>
        <v>42769</v>
      </c>
      <c r="D49" s="52">
        <v>2017</v>
      </c>
      <c r="E49" s="52">
        <v>34</v>
      </c>
      <c r="F49" s="53">
        <v>0.2951388888888889</v>
      </c>
      <c r="G49" s="271"/>
      <c r="H49" s="271"/>
      <c r="I49" s="117"/>
      <c r="J49" s="117"/>
      <c r="K49" s="117"/>
      <c r="L49" s="117"/>
      <c r="M49" s="117"/>
      <c r="N49" s="117"/>
      <c r="O49" s="117"/>
      <c r="P49" s="117"/>
      <c r="Q49" s="82"/>
      <c r="R49" s="70"/>
    </row>
    <row r="50" spans="1:20" s="15" customFormat="1" ht="15" x14ac:dyDescent="0.2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176"/>
      <c r="T50" s="176"/>
    </row>
    <row r="51" spans="1:20" s="15" customFormat="1" ht="15" x14ac:dyDescent="0.2">
      <c r="A51" s="70">
        <f>COUNTA(A9:A49)</f>
        <v>40</v>
      </c>
      <c r="B51" s="70" t="s">
        <v>269</v>
      </c>
      <c r="C51" s="70"/>
      <c r="D51" s="70"/>
      <c r="E51" s="84" t="s">
        <v>246</v>
      </c>
      <c r="F51" s="70">
        <f>DAY(G51)</f>
        <v>8</v>
      </c>
      <c r="G51" s="123">
        <f>SUM(G8:G49)</f>
        <v>8.7006944444444461</v>
      </c>
      <c r="H51" s="123"/>
      <c r="I51" s="70"/>
      <c r="J51" s="70"/>
      <c r="K51" s="70"/>
      <c r="L51" s="84" t="s">
        <v>217</v>
      </c>
      <c r="M51" s="127">
        <f>SUM(M8:M49)</f>
        <v>1471.0920000000001</v>
      </c>
      <c r="N51" s="70" t="s">
        <v>35</v>
      </c>
      <c r="O51" s="70"/>
      <c r="P51" s="70"/>
      <c r="Q51" s="70"/>
      <c r="R51" s="70"/>
      <c r="S51" s="176"/>
      <c r="T51" s="176"/>
    </row>
    <row r="52" spans="1:20" ht="15" x14ac:dyDescent="0.2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</row>
    <row r="53" spans="1:20" ht="15" x14ac:dyDescent="0.2">
      <c r="A53" s="70"/>
      <c r="B53" s="70"/>
      <c r="C53" s="70"/>
      <c r="D53" s="70"/>
      <c r="E53" s="84" t="s">
        <v>247</v>
      </c>
      <c r="F53" s="70">
        <f>F51</f>
        <v>8</v>
      </c>
      <c r="G53" s="123">
        <f>G51</f>
        <v>8.7006944444444461</v>
      </c>
      <c r="H53" s="123"/>
      <c r="I53" s="70"/>
      <c r="J53" s="70"/>
      <c r="K53" s="70"/>
      <c r="L53" s="70"/>
      <c r="M53" s="70"/>
      <c r="N53" s="70"/>
      <c r="O53" s="70"/>
      <c r="P53" s="70"/>
      <c r="Q53" s="70"/>
      <c r="R53" s="70"/>
    </row>
    <row r="54" spans="1:20" ht="15.75" thickBot="1" x14ac:dyDescent="0.2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</row>
    <row r="55" spans="1:20" ht="21.6" customHeight="1" x14ac:dyDescent="0.2">
      <c r="A55" s="70"/>
      <c r="B55" s="587" t="s">
        <v>17</v>
      </c>
      <c r="C55" s="587" t="s">
        <v>227</v>
      </c>
      <c r="D55" s="593" t="s">
        <v>248</v>
      </c>
      <c r="E55" s="634"/>
      <c r="F55" s="622"/>
      <c r="G55" s="589" t="s">
        <v>228</v>
      </c>
      <c r="H55" s="593" t="s">
        <v>249</v>
      </c>
      <c r="I55" s="622"/>
      <c r="J55" s="587" t="s">
        <v>19</v>
      </c>
      <c r="K55" s="587" t="s">
        <v>250</v>
      </c>
      <c r="L55" s="614" t="s">
        <v>312</v>
      </c>
      <c r="M55" s="608" t="s">
        <v>313</v>
      </c>
      <c r="N55" s="624" t="s">
        <v>213</v>
      </c>
      <c r="O55" s="618" t="s">
        <v>211</v>
      </c>
      <c r="P55" s="620" t="s">
        <v>251</v>
      </c>
      <c r="Q55" s="616" t="s">
        <v>315</v>
      </c>
    </row>
    <row r="56" spans="1:20" ht="21.6" customHeight="1" thickBot="1" x14ac:dyDescent="0.25">
      <c r="A56" s="70"/>
      <c r="B56" s="606"/>
      <c r="C56" s="606"/>
      <c r="D56" s="86" t="s">
        <v>11</v>
      </c>
      <c r="E56" s="88" t="s">
        <v>12</v>
      </c>
      <c r="F56" s="89" t="s">
        <v>13</v>
      </c>
      <c r="G56" s="635"/>
      <c r="H56" s="86" t="s">
        <v>12</v>
      </c>
      <c r="I56" s="89" t="s">
        <v>13</v>
      </c>
      <c r="J56" s="606"/>
      <c r="K56" s="606"/>
      <c r="L56" s="627"/>
      <c r="M56" s="626"/>
      <c r="N56" s="625"/>
      <c r="O56" s="619"/>
      <c r="P56" s="621"/>
      <c r="Q56" s="617"/>
    </row>
    <row r="57" spans="1:20" ht="15" x14ac:dyDescent="0.2">
      <c r="A57" s="70"/>
      <c r="B57" s="340"/>
      <c r="C57" s="340"/>
      <c r="D57" s="416"/>
      <c r="E57" s="417"/>
      <c r="F57" s="418"/>
      <c r="G57" s="433"/>
      <c r="H57" s="434"/>
      <c r="I57" s="418"/>
      <c r="J57" s="341"/>
      <c r="K57" s="405"/>
      <c r="L57" s="466"/>
      <c r="M57" s="467"/>
      <c r="N57" s="510"/>
      <c r="O57" s="83"/>
      <c r="P57" s="83"/>
      <c r="Q57" s="70"/>
    </row>
    <row r="58" spans="1:20" ht="15" x14ac:dyDescent="0.2">
      <c r="A58" s="342">
        <f t="shared" ref="A58:B77" si="2">A9</f>
        <v>6</v>
      </c>
      <c r="B58" s="45" t="str">
        <f t="shared" si="2"/>
        <v>CIRS_250RI_ETACAROCC001_PRIME</v>
      </c>
      <c r="C58" s="343" t="str">
        <f t="shared" ref="C58:C97" si="3">IF(L9=2000,"Co-add",IF(L9=4000,"No Co-add",L9))</f>
        <v>No Co-add</v>
      </c>
      <c r="D58" s="412" t="str">
        <f>IF($K58&lt;192,"",IF($K58&gt;597,"",IF(VLOOKUP($K58,'CIRS Table Info'!$B$6:$J$425,4,FALSE)="Data",VLOOKUP($K58,'CIRS Table Info'!$B$6:$J$425,3,FALSE),"")))</f>
        <v>No Co-add</v>
      </c>
      <c r="E58" s="413" t="str">
        <f>IF($K58&lt;192,"",IF($K58&gt;597,"",IF(VLOOKUP($K58,'CIRS Table Info'!$B$6:$J$425,5,FALSE)="Data",VLOOKUP($K58,'CIRS Table Info'!$B$6:$J$425,3,FALSE),"")))</f>
        <v>No Co-add</v>
      </c>
      <c r="F58" s="414" t="str">
        <f>IF($K58&lt;192,"",IF($K58&gt;597,"",IF(VLOOKUP($K58,'CIRS Table Info'!$B$6:$J$425,7,FALSE)="Data",VLOOKUP($K58,'CIRS Table Info'!$B$6:$J$425,3,FALSE),"")))</f>
        <v>No Co-add</v>
      </c>
      <c r="G58" s="367">
        <f>IF($K58&lt;192,"",IF($K58&gt;597,"",VLOOKUP($K58,'CIRS Table Info'!$B$6:$J$425,2,FALSE)))</f>
        <v>15.67</v>
      </c>
      <c r="H58" s="412" t="str">
        <f>IF($K58&lt;192,"",IF($K58&gt;597,"",VLOOKUP($K58,'CIRS Table Info'!$B$6:$J$425,6,FALSE)))</f>
        <v>Centers</v>
      </c>
      <c r="I58" s="414" t="str">
        <f>IF($K58&lt;192,"",IF($K58&gt;597,"",VLOOKUP($K58,'CIRS Table Info'!$B$6:$J$425,8,FALSE)))</f>
        <v>Centers</v>
      </c>
      <c r="J58" s="344">
        <f t="shared" ref="J58:J97" si="4">G9</f>
        <v>0.47013888888888899</v>
      </c>
      <c r="K58" s="141">
        <f t="shared" ref="K58:K97" si="5">VALUE(LEFT(R9,3))</f>
        <v>209</v>
      </c>
      <c r="L58" s="468">
        <f>VLOOKUP($B58,'CIRS Table IDs'!$B:$P,15,FALSE)</f>
        <v>1</v>
      </c>
      <c r="M58" s="415" t="str">
        <f>IF($K58&lt;192,"",IF($K58&gt;597,"",VLOOKUP($K58,'CIRS Table Info'!$B$6:$K$425,10,FALSE)))</f>
        <v>N\A</v>
      </c>
      <c r="N58" s="503"/>
      <c r="O58" s="83"/>
      <c r="P58" s="83">
        <f>IF(K58&lt;=597,1,0)</f>
        <v>1</v>
      </c>
      <c r="Q58" s="70" t="str">
        <f t="shared" ref="Q58:Q95" si="6">IF($R9&lt;200,"",IF($R9&gt;=300,"",IF(MOD(MOD($R9,25)-3,6)&lt;3,"Yes","")))</f>
        <v/>
      </c>
    </row>
    <row r="59" spans="1:20" ht="15" x14ac:dyDescent="0.2">
      <c r="A59" s="342">
        <f t="shared" si="2"/>
        <v>37</v>
      </c>
      <c r="B59" s="45" t="str">
        <f t="shared" si="2"/>
        <v>CIRS_251RI_PROPRETRG001_ISS</v>
      </c>
      <c r="C59" s="343">
        <f t="shared" si="3"/>
        <v>400</v>
      </c>
      <c r="D59" s="412" t="str">
        <f>IF($K59&lt;192,"",IF($K59&gt;597,"",IF(VLOOKUP($K59,'CIRS Table Info'!$B$6:$J$425,4,FALSE)="Data",VLOOKUP($K59,'CIRS Table Info'!$B$6:$J$425,3,FALSE),"")))</f>
        <v>No Co-add</v>
      </c>
      <c r="E59" s="413" t="str">
        <f>IF($K59&lt;192,"",IF($K59&gt;597,"",IF(VLOOKUP($K59,'CIRS Table Info'!$B$6:$J$425,5,FALSE)="Data",VLOOKUP($K59,'CIRS Table Info'!$B$6:$J$425,3,FALSE),"")))</f>
        <v/>
      </c>
      <c r="F59" s="414" t="str">
        <f>IF($K59&lt;192,"",IF($K59&gt;597,"",IF(VLOOKUP($K59,'CIRS Table Info'!$B$6:$J$425,7,FALSE)="Data",VLOOKUP($K59,'CIRS Table Info'!$B$6:$J$425,3,FALSE),"")))</f>
        <v/>
      </c>
      <c r="G59" s="367">
        <f>IF($K59&lt;192,"",IF($K59&gt;597,"",VLOOKUP($K59,'CIRS Table Info'!$B$6:$J$425,2,FALSE)))</f>
        <v>15.67</v>
      </c>
      <c r="H59" s="412" t="s">
        <v>311</v>
      </c>
      <c r="I59" s="414" t="s">
        <v>311</v>
      </c>
      <c r="J59" s="344">
        <f t="shared" si="4"/>
        <v>4.1666666666666699E-2</v>
      </c>
      <c r="K59" s="141">
        <f t="shared" si="5"/>
        <v>192</v>
      </c>
      <c r="L59" s="468">
        <f>VLOOKUP($B59,'CIRS Table IDs'!$B:$P,15,FALSE)</f>
        <v>1</v>
      </c>
      <c r="M59" s="415" t="str">
        <f>IF($K59&lt;192,"",IF($K59&gt;597,"",VLOOKUP($K59,'CIRS Table Info'!$B$6:$K$425,10,FALSE)))</f>
        <v>N\A</v>
      </c>
      <c r="N59" s="503"/>
      <c r="O59" s="83"/>
      <c r="P59" s="83">
        <f t="shared" ref="P59" si="7">IF(K59&lt;=597,1,0)</f>
        <v>1</v>
      </c>
      <c r="Q59" s="70" t="str">
        <f t="shared" si="6"/>
        <v/>
      </c>
    </row>
    <row r="60" spans="1:20" ht="15" x14ac:dyDescent="0.2">
      <c r="A60" s="342">
        <f t="shared" si="2"/>
        <v>38</v>
      </c>
      <c r="B60" s="45" t="str">
        <f t="shared" si="2"/>
        <v>CIRS_251RC_COMPUNLC1001_PRIME</v>
      </c>
      <c r="C60" s="343" t="str">
        <f t="shared" si="3"/>
        <v>No Co-add</v>
      </c>
      <c r="D60" s="412" t="str">
        <f>IF($K60&lt;192,"",IF($K60&gt;597,"",IF(VLOOKUP($K60,'CIRS Table Info'!$B$6:$J$425,4,FALSE)="Data",VLOOKUP($K60,'CIRS Table Info'!$B$6:$J$425,3,FALSE),"")))</f>
        <v>No Co-add</v>
      </c>
      <c r="E60" s="413" t="str">
        <f>IF($K60&lt;192,"",IF($K60&gt;597,"",IF(VLOOKUP($K60,'CIRS Table Info'!$B$6:$J$425,5,FALSE)="Data",VLOOKUP($K60,'CIRS Table Info'!$B$6:$J$425,3,FALSE),"")))</f>
        <v>No Co-add</v>
      </c>
      <c r="F60" s="414" t="str">
        <f>IF($K60&lt;192,"",IF($K60&gt;597,"",IF(VLOOKUP($K60,'CIRS Table Info'!$B$6:$J$425,7,FALSE)="Data",VLOOKUP($K60,'CIRS Table Info'!$B$6:$J$425,3,FALSE),"")))</f>
        <v>No Co-add</v>
      </c>
      <c r="G60" s="367">
        <f>IF($K60&lt;192,"",IF($K60&gt;597,"",VLOOKUP($K60,'CIRS Table Info'!$B$6:$J$425,2,FALSE)))</f>
        <v>2.85</v>
      </c>
      <c r="H60" s="412" t="str">
        <f>IF($K60&lt;192,"",IF($K60&gt;597,"",VLOOKUP($K60,'CIRS Table Info'!$B$6:$J$425,6,FALSE)))</f>
        <v>Centers</v>
      </c>
      <c r="I60" s="414" t="str">
        <f>IF($K60&lt;192,"",IF($K60&gt;597,"",VLOOKUP($K60,'CIRS Table Info'!$B$6:$J$425,8,FALSE)))</f>
        <v>Centers</v>
      </c>
      <c r="J60" s="344">
        <f t="shared" si="4"/>
        <v>0.16666666666666699</v>
      </c>
      <c r="K60" s="141">
        <f t="shared" si="5"/>
        <v>234</v>
      </c>
      <c r="L60" s="468" t="str">
        <f>VLOOKUP($B60,'CIRS Table IDs'!$B:$P,15,FALSE)</f>
        <v>1,1,1</v>
      </c>
      <c r="M60" s="415" t="str">
        <f>IF($K60&lt;192,"",IF($K60&gt;597,"",VLOOKUP($K60,'CIRS Table Info'!$B$6:$K$425,10,FALSE)))</f>
        <v>N\A</v>
      </c>
      <c r="N60" s="503" t="s">
        <v>428</v>
      </c>
      <c r="O60" s="83"/>
      <c r="P60" s="83">
        <f t="shared" ref="P60:P95" si="8">IF(K60&lt;=597,1,0)</f>
        <v>1</v>
      </c>
      <c r="Q60" s="70" t="str">
        <f t="shared" si="6"/>
        <v/>
      </c>
    </row>
    <row r="61" spans="1:20" ht="15" x14ac:dyDescent="0.2">
      <c r="A61" s="342">
        <f t="shared" si="2"/>
        <v>59</v>
      </c>
      <c r="B61" s="45" t="str">
        <f t="shared" si="2"/>
        <v>CIRS_253RF_FMOVIE001_ISS</v>
      </c>
      <c r="C61" s="343">
        <f t="shared" si="3"/>
        <v>400</v>
      </c>
      <c r="D61" s="412" t="str">
        <f>IF($K61&lt;192,"",IF($K61&gt;597,"",IF(VLOOKUP($K61,'CIRS Table Info'!$B$6:$J$425,4,FALSE)="Data",VLOOKUP($K61,'CIRS Table Info'!$B$6:$J$425,3,FALSE),"")))</f>
        <v>No Co-add</v>
      </c>
      <c r="E61" s="413" t="str">
        <f>IF($K61&lt;192,"",IF($K61&gt;597,"",IF(VLOOKUP($K61,'CIRS Table Info'!$B$6:$J$425,5,FALSE)="Data",VLOOKUP($K61,'CIRS Table Info'!$B$6:$J$425,3,FALSE),"")))</f>
        <v/>
      </c>
      <c r="F61" s="414" t="str">
        <f>IF($K61&lt;192,"",IF($K61&gt;597,"",IF(VLOOKUP($K61,'CIRS Table Info'!$B$6:$J$425,7,FALSE)="Data",VLOOKUP($K61,'CIRS Table Info'!$B$6:$J$425,3,FALSE),"")))</f>
        <v/>
      </c>
      <c r="G61" s="367">
        <f>IF($K61&lt;192,"",IF($K61&gt;597,"",VLOOKUP($K61,'CIRS Table Info'!$B$6:$J$425,2,FALSE)))</f>
        <v>15.67</v>
      </c>
      <c r="H61" s="412" t="s">
        <v>311</v>
      </c>
      <c r="I61" s="414" t="s">
        <v>311</v>
      </c>
      <c r="J61" s="344">
        <f t="shared" si="4"/>
        <v>0.79166666666666696</v>
      </c>
      <c r="K61" s="141">
        <f t="shared" si="5"/>
        <v>192</v>
      </c>
      <c r="L61" s="468">
        <f>VLOOKUP($B61,'CIRS Table IDs'!$B:$P,15,FALSE)</f>
        <v>1</v>
      </c>
      <c r="M61" s="415" t="str">
        <f>IF($K61&lt;192,"",IF($K61&gt;597,"",VLOOKUP($K61,'CIRS Table Info'!$B$6:$K$425,10,FALSE)))</f>
        <v>N\A</v>
      </c>
      <c r="N61" s="503"/>
      <c r="O61" s="83"/>
      <c r="P61" s="83">
        <f t="shared" si="8"/>
        <v>1</v>
      </c>
      <c r="Q61" s="70" t="str">
        <f t="shared" si="6"/>
        <v/>
      </c>
    </row>
    <row r="62" spans="1:20" ht="15" x14ac:dyDescent="0.2">
      <c r="A62" s="342">
        <f t="shared" si="2"/>
        <v>62</v>
      </c>
      <c r="B62" s="45" t="str">
        <f t="shared" si="2"/>
        <v>CIRS_253RI_ETACAROCC001_PRIME</v>
      </c>
      <c r="C62" s="343">
        <f t="shared" si="3"/>
        <v>2200</v>
      </c>
      <c r="D62" s="412" t="str">
        <f>IF($K62&lt;192,"",IF($K62&gt;597,"",IF(VLOOKUP($K62,'CIRS Table Info'!$B$6:$J$425,4,FALSE)="Data",VLOOKUP($K62,'CIRS Table Info'!$B$6:$J$425,3,FALSE),"")))</f>
        <v>No Co-add</v>
      </c>
      <c r="E62" s="413" t="str">
        <f>IF($K62&lt;192,"",IF($K62&gt;597,"",IF(VLOOKUP($K62,'CIRS Table Info'!$B$6:$J$425,5,FALSE)="Data",VLOOKUP($K62,'CIRS Table Info'!$B$6:$J$425,3,FALSE),"")))</f>
        <v>No Co-add</v>
      </c>
      <c r="F62" s="414" t="str">
        <f>IF($K62&lt;192,"",IF($K62&gt;597,"",IF(VLOOKUP($K62,'CIRS Table Info'!$B$6:$J$425,7,FALSE)="Data",VLOOKUP($K62,'CIRS Table Info'!$B$6:$J$425,3,FALSE),"")))</f>
        <v/>
      </c>
      <c r="G62" s="367">
        <f>IF($K62&lt;192,"",IF($K62&gt;597,"",VLOOKUP($K62,'CIRS Table Info'!$B$6:$J$425,2,FALSE)))</f>
        <v>15.67</v>
      </c>
      <c r="H62" s="412" t="str">
        <f>IF($K62&lt;192,"",IF($K62&gt;597,"",VLOOKUP($K62,'CIRS Table Info'!$B$6:$J$425,6,FALSE)))</f>
        <v>Centers</v>
      </c>
      <c r="I62" s="414" t="s">
        <v>311</v>
      </c>
      <c r="J62" s="344">
        <f t="shared" si="4"/>
        <v>0.19097222222222199</v>
      </c>
      <c r="K62" s="141">
        <f t="shared" si="5"/>
        <v>203</v>
      </c>
      <c r="L62" s="468" t="str">
        <f>VLOOKUP($B62,'CIRS Table IDs'!$B:$P,15,FALSE)</f>
        <v>1,1,1</v>
      </c>
      <c r="M62" s="415" t="str">
        <f>IF($K62&lt;192,"",IF($K62&gt;597,"",VLOOKUP($K62,'CIRS Table Info'!$B$6:$K$425,10,FALSE)))</f>
        <v>N\A</v>
      </c>
      <c r="N62" s="503"/>
      <c r="O62" s="83"/>
      <c r="P62" s="83">
        <f t="shared" si="8"/>
        <v>1</v>
      </c>
      <c r="Q62" s="70" t="str">
        <f t="shared" si="6"/>
        <v/>
      </c>
    </row>
    <row r="63" spans="1:20" ht="15" x14ac:dyDescent="0.2">
      <c r="A63" s="342">
        <f t="shared" si="2"/>
        <v>64</v>
      </c>
      <c r="B63" s="45" t="str">
        <f t="shared" si="2"/>
        <v>CIRS_253RI_RSCANLIT001_PIE</v>
      </c>
      <c r="C63" s="343">
        <f t="shared" si="3"/>
        <v>2200</v>
      </c>
      <c r="D63" s="412" t="str">
        <f>IF($K63&lt;192,"",IF($K63&gt;597,"",IF(VLOOKUP($K63,'CIRS Table Info'!$B$6:$J$425,4,FALSE)="Data",VLOOKUP($K63,'CIRS Table Info'!$B$6:$J$425,3,FALSE),"")))</f>
        <v>No Co-add</v>
      </c>
      <c r="E63" s="413" t="str">
        <f>IF($K63&lt;192,"",IF($K63&gt;597,"",IF(VLOOKUP($K63,'CIRS Table Info'!$B$6:$J$425,5,FALSE)="Data",VLOOKUP($K63,'CIRS Table Info'!$B$6:$J$425,3,FALSE),"")))</f>
        <v>No Co-add</v>
      </c>
      <c r="F63" s="414" t="str">
        <f>IF($K63&lt;192,"",IF($K63&gt;597,"",IF(VLOOKUP($K63,'CIRS Table Info'!$B$6:$J$425,7,FALSE)="Data",VLOOKUP($K63,'CIRS Table Info'!$B$6:$J$425,3,FALSE),"")))</f>
        <v/>
      </c>
      <c r="G63" s="367">
        <f>IF($K63&lt;192,"",IF($K63&gt;597,"",VLOOKUP($K63,'CIRS Table Info'!$B$6:$J$425,2,FALSE)))</f>
        <v>15.67</v>
      </c>
      <c r="H63" s="412" t="str">
        <f>IF($K63&lt;192,"",IF($K63&gt;597,"",VLOOKUP($K63,'CIRS Table Info'!$B$6:$J$425,6,FALSE)))</f>
        <v>Centers</v>
      </c>
      <c r="I63" s="414" t="s">
        <v>311</v>
      </c>
      <c r="J63" s="344">
        <f t="shared" si="4"/>
        <v>0.163194444444444</v>
      </c>
      <c r="K63" s="141">
        <f t="shared" si="5"/>
        <v>203</v>
      </c>
      <c r="L63" s="468" t="str">
        <f>VLOOKUP($B63,'CIRS Table IDs'!$B:$P,15,FALSE)</f>
        <v>1,1,1</v>
      </c>
      <c r="M63" s="415" t="str">
        <f>IF($K63&lt;192,"",IF($K63&gt;597,"",VLOOKUP($K63,'CIRS Table Info'!$B$6:$K$425,10,FALSE)))</f>
        <v>N\A</v>
      </c>
      <c r="N63" s="503"/>
      <c r="O63" s="83"/>
      <c r="P63" s="83">
        <f t="shared" si="8"/>
        <v>1</v>
      </c>
      <c r="Q63" s="70" t="str">
        <f t="shared" si="6"/>
        <v/>
      </c>
    </row>
    <row r="64" spans="1:20" ht="15" x14ac:dyDescent="0.2">
      <c r="A64" s="342">
        <f t="shared" si="2"/>
        <v>65</v>
      </c>
      <c r="B64" s="45" t="str">
        <f t="shared" si="2"/>
        <v>CIRS_253RI_HIRESAFRG001_ISS</v>
      </c>
      <c r="C64" s="343">
        <f t="shared" si="3"/>
        <v>2200</v>
      </c>
      <c r="D64" s="412" t="str">
        <f>IF($K64&lt;192,"",IF($K64&gt;597,"",IF(VLOOKUP($K64,'CIRS Table Info'!$B$6:$J$425,4,FALSE)="Data",VLOOKUP($K64,'CIRS Table Info'!$B$6:$J$425,3,FALSE),"")))</f>
        <v>No Co-add</v>
      </c>
      <c r="E64" s="413" t="str">
        <f>IF($K64&lt;192,"",IF($K64&gt;597,"",IF(VLOOKUP($K64,'CIRS Table Info'!$B$6:$J$425,5,FALSE)="Data",VLOOKUP($K64,'CIRS Table Info'!$B$6:$J$425,3,FALSE),"")))</f>
        <v>No Co-add</v>
      </c>
      <c r="F64" s="414" t="str">
        <f>IF($K64&lt;192,"",IF($K64&gt;597,"",IF(VLOOKUP($K64,'CIRS Table Info'!$B$6:$J$425,7,FALSE)="Data",VLOOKUP($K64,'CIRS Table Info'!$B$6:$J$425,3,FALSE),"")))</f>
        <v/>
      </c>
      <c r="G64" s="367">
        <f>IF($K64&lt;192,"",IF($K64&gt;597,"",VLOOKUP($K64,'CIRS Table Info'!$B$6:$J$425,2,FALSE)))</f>
        <v>15.67</v>
      </c>
      <c r="H64" s="412" t="str">
        <f>IF($K64&lt;192,"",IF($K64&gt;597,"",VLOOKUP($K64,'CIRS Table Info'!$B$6:$J$425,6,FALSE)))</f>
        <v>Centers</v>
      </c>
      <c r="I64" s="414" t="s">
        <v>311</v>
      </c>
      <c r="J64" s="344">
        <f t="shared" si="4"/>
        <v>6.31944444444444E-2</v>
      </c>
      <c r="K64" s="141">
        <f t="shared" si="5"/>
        <v>400</v>
      </c>
      <c r="L64" s="468">
        <f>VLOOKUP($B64,'CIRS Table IDs'!$B:$P,15,FALSE)</f>
        <v>1</v>
      </c>
      <c r="M64" s="415">
        <f>IF($K64&lt;192,"",IF($K64&gt;597,"",VLOOKUP($K64,'CIRS Table Info'!$B$6:$K$425,10,FALSE)))</f>
        <v>2</v>
      </c>
      <c r="N64" s="503"/>
      <c r="O64" s="83"/>
      <c r="P64" s="83">
        <f t="shared" si="8"/>
        <v>1</v>
      </c>
      <c r="Q64" s="70" t="str">
        <f t="shared" si="6"/>
        <v/>
      </c>
    </row>
    <row r="65" spans="1:17" ht="15" x14ac:dyDescent="0.2">
      <c r="A65" s="342">
        <f t="shared" si="2"/>
        <v>67</v>
      </c>
      <c r="B65" s="45" t="str">
        <f t="shared" si="2"/>
        <v>CIRS_253RI_SUPRHRESU001_ISS</v>
      </c>
      <c r="C65" s="343">
        <f t="shared" si="3"/>
        <v>2200</v>
      </c>
      <c r="D65" s="412" t="str">
        <f>IF($K65&lt;192,"",IF($K65&gt;597,"",IF(VLOOKUP($K65,'CIRS Table Info'!$B$6:$J$425,4,FALSE)="Data",VLOOKUP($K65,'CIRS Table Info'!$B$6:$J$425,3,FALSE),"")))</f>
        <v>No Co-add</v>
      </c>
      <c r="E65" s="413" t="str">
        <f>IF($K65&lt;192,"",IF($K65&gt;597,"",IF(VLOOKUP($K65,'CIRS Table Info'!$B$6:$J$425,5,FALSE)="Data",VLOOKUP($K65,'CIRS Table Info'!$B$6:$J$425,3,FALSE),"")))</f>
        <v>No Co-add</v>
      </c>
      <c r="F65" s="414" t="str">
        <f>IF($K65&lt;192,"",IF($K65&gt;597,"",IF(VLOOKUP($K65,'CIRS Table Info'!$B$6:$J$425,7,FALSE)="Data",VLOOKUP($K65,'CIRS Table Info'!$B$6:$J$425,3,FALSE),"")))</f>
        <v/>
      </c>
      <c r="G65" s="367">
        <f>IF($K65&lt;192,"",IF($K65&gt;597,"",VLOOKUP($K65,'CIRS Table Info'!$B$6:$J$425,2,FALSE)))</f>
        <v>15.67</v>
      </c>
      <c r="H65" s="412" t="str">
        <f>IF($K65&lt;192,"",IF($K65&gt;597,"",VLOOKUP($K65,'CIRS Table Info'!$B$6:$J$425,6,FALSE)))</f>
        <v>Centers</v>
      </c>
      <c r="I65" s="414" t="s">
        <v>311</v>
      </c>
      <c r="J65" s="344">
        <f t="shared" si="4"/>
        <v>6.0416666666666702E-2</v>
      </c>
      <c r="K65" s="141">
        <f t="shared" si="5"/>
        <v>400</v>
      </c>
      <c r="L65" s="468">
        <f>VLOOKUP($B65,'CIRS Table IDs'!$B:$P,15,FALSE)</f>
        <v>1</v>
      </c>
      <c r="M65" s="415">
        <f>IF($K65&lt;192,"",IF($K65&gt;597,"",VLOOKUP($K65,'CIRS Table Info'!$B$6:$K$425,10,FALSE)))</f>
        <v>2</v>
      </c>
      <c r="N65" s="503"/>
      <c r="O65" s="83"/>
      <c r="P65" s="83">
        <f t="shared" si="8"/>
        <v>1</v>
      </c>
      <c r="Q65" s="70" t="str">
        <f t="shared" si="6"/>
        <v/>
      </c>
    </row>
    <row r="66" spans="1:17" ht="15" x14ac:dyDescent="0.2">
      <c r="A66" s="342">
        <f t="shared" si="2"/>
        <v>68</v>
      </c>
      <c r="B66" s="45" t="str">
        <f t="shared" si="2"/>
        <v>CIRS_253RI_RSCANDRK001_PIE</v>
      </c>
      <c r="C66" s="343">
        <f t="shared" si="3"/>
        <v>2200</v>
      </c>
      <c r="D66" s="412" t="str">
        <f>IF($K66&lt;192,"",IF($K66&gt;597,"",IF(VLOOKUP($K66,'CIRS Table Info'!$B$6:$J$425,4,FALSE)="Data",VLOOKUP($K66,'CIRS Table Info'!$B$6:$J$425,3,FALSE),"")))</f>
        <v>No Co-add</v>
      </c>
      <c r="E66" s="413" t="str">
        <f>IF($K66&lt;192,"",IF($K66&gt;597,"",IF(VLOOKUP($K66,'CIRS Table Info'!$B$6:$J$425,5,FALSE)="Data",VLOOKUP($K66,'CIRS Table Info'!$B$6:$J$425,3,FALSE),"")))</f>
        <v>No Co-add</v>
      </c>
      <c r="F66" s="414" t="str">
        <f>IF($K66&lt;192,"",IF($K66&gt;597,"",IF(VLOOKUP($K66,'CIRS Table Info'!$B$6:$J$425,7,FALSE)="Data",VLOOKUP($K66,'CIRS Table Info'!$B$6:$J$425,3,FALSE),"")))</f>
        <v/>
      </c>
      <c r="G66" s="367">
        <f>IF($K66&lt;192,"",IF($K66&gt;597,"",VLOOKUP($K66,'CIRS Table Info'!$B$6:$J$425,2,FALSE)))</f>
        <v>15.67</v>
      </c>
      <c r="H66" s="412" t="str">
        <f>IF($K66&lt;192,"",IF($K66&gt;597,"",VLOOKUP($K66,'CIRS Table Info'!$B$6:$J$425,6,FALSE)))</f>
        <v>Centers</v>
      </c>
      <c r="I66" s="414" t="s">
        <v>311</v>
      </c>
      <c r="J66" s="344">
        <f t="shared" si="4"/>
        <v>0.16666666666666699</v>
      </c>
      <c r="K66" s="141">
        <f t="shared" si="5"/>
        <v>203</v>
      </c>
      <c r="L66" s="468" t="str">
        <f>VLOOKUP($B66,'CIRS Table IDs'!$B:$P,15,FALSE)</f>
        <v>1,1,1</v>
      </c>
      <c r="M66" s="415" t="str">
        <f>IF($K66&lt;192,"",IF($K66&gt;597,"",VLOOKUP($K66,'CIRS Table Info'!$B$6:$K$425,10,FALSE)))</f>
        <v>N\A</v>
      </c>
      <c r="N66" s="503"/>
      <c r="O66" s="83"/>
      <c r="P66" s="83">
        <f t="shared" si="8"/>
        <v>1</v>
      </c>
      <c r="Q66" s="70" t="str">
        <f t="shared" si="6"/>
        <v/>
      </c>
    </row>
    <row r="67" spans="1:17" ht="15" x14ac:dyDescent="0.2">
      <c r="A67" s="342">
        <f t="shared" si="2"/>
        <v>69</v>
      </c>
      <c r="B67" s="45" t="str">
        <f t="shared" si="2"/>
        <v>CIRS_253RI_PROPRETRG003_ISS</v>
      </c>
      <c r="C67" s="343">
        <f t="shared" si="3"/>
        <v>400</v>
      </c>
      <c r="D67" s="412" t="str">
        <f>IF($K67&lt;192,"",IF($K67&gt;597,"",IF(VLOOKUP($K67,'CIRS Table Info'!$B$6:$J$425,4,FALSE)="Data",VLOOKUP($K67,'CIRS Table Info'!$B$6:$J$425,3,FALSE),"")))</f>
        <v>No Co-add</v>
      </c>
      <c r="E67" s="413" t="str">
        <f>IF($K67&lt;192,"",IF($K67&gt;597,"",IF(VLOOKUP($K67,'CIRS Table Info'!$B$6:$J$425,5,FALSE)="Data",VLOOKUP($K67,'CIRS Table Info'!$B$6:$J$425,3,FALSE),"")))</f>
        <v/>
      </c>
      <c r="F67" s="414" t="str">
        <f>IF($K67&lt;192,"",IF($K67&gt;597,"",IF(VLOOKUP($K67,'CIRS Table Info'!$B$6:$J$425,7,FALSE)="Data",VLOOKUP($K67,'CIRS Table Info'!$B$6:$J$425,3,FALSE),"")))</f>
        <v/>
      </c>
      <c r="G67" s="367">
        <f>IF($K67&lt;192,"",IF($K67&gt;597,"",VLOOKUP($K67,'CIRS Table Info'!$B$6:$J$425,2,FALSE)))</f>
        <v>15.67</v>
      </c>
      <c r="H67" s="412" t="s">
        <v>311</v>
      </c>
      <c r="I67" s="414" t="s">
        <v>311</v>
      </c>
      <c r="J67" s="344">
        <f t="shared" si="4"/>
        <v>4.1666666666666699E-2</v>
      </c>
      <c r="K67" s="141">
        <f t="shared" si="5"/>
        <v>192</v>
      </c>
      <c r="L67" s="468">
        <f>VLOOKUP($B67,'CIRS Table IDs'!$B:$P,15,FALSE)</f>
        <v>1</v>
      </c>
      <c r="M67" s="415" t="str">
        <f>IF($K67&lt;192,"",IF($K67&gt;597,"",VLOOKUP($K67,'CIRS Table Info'!$B$6:$K$425,10,FALSE)))</f>
        <v>N\A</v>
      </c>
      <c r="N67" s="503"/>
      <c r="O67" s="83"/>
      <c r="P67" s="83">
        <f t="shared" si="8"/>
        <v>1</v>
      </c>
      <c r="Q67" s="70" t="str">
        <f t="shared" si="6"/>
        <v/>
      </c>
    </row>
    <row r="68" spans="1:17" ht="15" x14ac:dyDescent="0.2">
      <c r="A68" s="342">
        <f t="shared" si="2"/>
        <v>70</v>
      </c>
      <c r="B68" s="45" t="str">
        <f t="shared" si="2"/>
        <v>CIRS_253RA_HALODARK001_PRIME</v>
      </c>
      <c r="C68" s="343">
        <f t="shared" si="3"/>
        <v>2200</v>
      </c>
      <c r="D68" s="412" t="str">
        <f>IF($K68&lt;192,"",IF($K68&gt;597,"",IF(VLOOKUP($K68,'CIRS Table Info'!$B$6:$J$425,4,FALSE)="Data",VLOOKUP($K68,'CIRS Table Info'!$B$6:$J$425,3,FALSE),"")))</f>
        <v>No Co-add</v>
      </c>
      <c r="E68" s="413" t="str">
        <f>IF($K68&lt;192,"",IF($K68&gt;597,"",IF(VLOOKUP($K68,'CIRS Table Info'!$B$6:$J$425,5,FALSE)="Data",VLOOKUP($K68,'CIRS Table Info'!$B$6:$J$425,3,FALSE),"")))</f>
        <v>No Co-add</v>
      </c>
      <c r="F68" s="414" t="str">
        <f>IF($K68&lt;192,"",IF($K68&gt;597,"",IF(VLOOKUP($K68,'CIRS Table Info'!$B$6:$J$425,7,FALSE)="Data",VLOOKUP($K68,'CIRS Table Info'!$B$6:$J$425,3,FALSE),"")))</f>
        <v/>
      </c>
      <c r="G68" s="367">
        <f>IF($K68&lt;192,"",IF($K68&gt;597,"",VLOOKUP($K68,'CIRS Table Info'!$B$6:$J$425,2,FALSE)))</f>
        <v>15.67</v>
      </c>
      <c r="H68" s="412" t="str">
        <f>IF($K68&lt;192,"",IF($K68&gt;597,"",VLOOKUP($K68,'CIRS Table Info'!$B$6:$J$425,6,FALSE)))</f>
        <v>Centers</v>
      </c>
      <c r="I68" s="414" t="s">
        <v>311</v>
      </c>
      <c r="J68" s="344">
        <f t="shared" si="4"/>
        <v>0.16666666666666699</v>
      </c>
      <c r="K68" s="141">
        <f t="shared" si="5"/>
        <v>203</v>
      </c>
      <c r="L68" s="468" t="str">
        <f>VLOOKUP($B68,'CIRS Table IDs'!$B:$P,15,FALSE)</f>
        <v>1,1,1</v>
      </c>
      <c r="M68" s="415" t="str">
        <f>IF($K68&lt;192,"",IF($K68&gt;597,"",VLOOKUP($K68,'CIRS Table Info'!$B$6:$K$425,10,FALSE)))</f>
        <v>N\A</v>
      </c>
      <c r="N68" s="503" t="s">
        <v>473</v>
      </c>
      <c r="O68" s="83"/>
      <c r="P68" s="83">
        <f t="shared" si="8"/>
        <v>1</v>
      </c>
      <c r="Q68" s="70" t="str">
        <f t="shared" si="6"/>
        <v/>
      </c>
    </row>
    <row r="69" spans="1:17" ht="15" x14ac:dyDescent="0.2">
      <c r="A69" s="342">
        <f t="shared" si="2"/>
        <v>73</v>
      </c>
      <c r="B69" s="45" t="str">
        <f t="shared" si="2"/>
        <v>CIRS_253RI_ALPORIOCC001_VIMS</v>
      </c>
      <c r="C69" s="343" t="str">
        <f t="shared" si="3"/>
        <v>No Co-add</v>
      </c>
      <c r="D69" s="412" t="str">
        <f>IF($K69&lt;192,"",IF($K69&gt;597,"",IF(VLOOKUP($K69,'CIRS Table Info'!$B$6:$J$425,4,FALSE)="Data",VLOOKUP($K69,'CIRS Table Info'!$B$6:$J$425,3,FALSE),"")))</f>
        <v>No Co-add</v>
      </c>
      <c r="E69" s="413" t="str">
        <f>IF($K69&lt;192,"",IF($K69&gt;597,"",IF(VLOOKUP($K69,'CIRS Table Info'!$B$6:$J$425,5,FALSE)="Data",VLOOKUP($K69,'CIRS Table Info'!$B$6:$J$425,3,FALSE),"")))</f>
        <v>No Co-add</v>
      </c>
      <c r="F69" s="414" t="str">
        <f>IF($K69&lt;192,"",IF($K69&gt;597,"",IF(VLOOKUP($K69,'CIRS Table Info'!$B$6:$J$425,7,FALSE)="Data",VLOOKUP($K69,'CIRS Table Info'!$B$6:$J$425,3,FALSE),"")))</f>
        <v>No Co-add</v>
      </c>
      <c r="G69" s="367">
        <f>IF($K69&lt;192,"",IF($K69&gt;597,"",VLOOKUP($K69,'CIRS Table Info'!$B$6:$J$425,2,FALSE)))</f>
        <v>15.67</v>
      </c>
      <c r="H69" s="412" t="str">
        <f>IF($K69&lt;192,"",IF($K69&gt;597,"",VLOOKUP($K69,'CIRS Table Info'!$B$6:$J$425,6,FALSE)))</f>
        <v>Centers</v>
      </c>
      <c r="I69" s="414" t="str">
        <f>IF($K69&lt;192,"",IF($K69&gt;597,"",VLOOKUP($K69,'CIRS Table Info'!$B$6:$J$425,8,FALSE)))</f>
        <v>Centers</v>
      </c>
      <c r="J69" s="344">
        <f t="shared" si="4"/>
        <v>0.17777777777777801</v>
      </c>
      <c r="K69" s="141">
        <f t="shared" si="5"/>
        <v>553</v>
      </c>
      <c r="L69" s="468">
        <f>VLOOKUP($B69,'CIRS Table IDs'!$B:$P,15,FALSE)</f>
        <v>1</v>
      </c>
      <c r="M69" s="415">
        <f>IF($K69&lt;192,"",IF($K69&gt;597,"",VLOOKUP($K69,'CIRS Table Info'!$B$6:$K$425,10,FALSE)))</f>
        <v>5</v>
      </c>
      <c r="N69" s="503"/>
      <c r="O69" s="83"/>
      <c r="P69" s="83">
        <f t="shared" si="8"/>
        <v>1</v>
      </c>
      <c r="Q69" s="70" t="str">
        <f t="shared" si="6"/>
        <v/>
      </c>
    </row>
    <row r="70" spans="1:17" ht="15" x14ac:dyDescent="0.2">
      <c r="A70" s="342">
        <f t="shared" si="2"/>
        <v>74</v>
      </c>
      <c r="B70" s="45" t="str">
        <f t="shared" si="2"/>
        <v>CIRS_253RA_COMPUNLA1001_PRIME</v>
      </c>
      <c r="C70" s="343" t="str">
        <f t="shared" si="3"/>
        <v>No Co-add</v>
      </c>
      <c r="D70" s="412" t="str">
        <f>IF($K70&lt;192,"",IF($K70&gt;597,"",IF(VLOOKUP($K70,'CIRS Table Info'!$B$6:$J$425,4,FALSE)="Data",VLOOKUP($K70,'CIRS Table Info'!$B$6:$J$425,3,FALSE),"")))</f>
        <v>No Co-add</v>
      </c>
      <c r="E70" s="413" t="str">
        <f>IF($K70&lt;192,"",IF($K70&gt;597,"",IF(VLOOKUP($K70,'CIRS Table Info'!$B$6:$J$425,5,FALSE)="Data",VLOOKUP($K70,'CIRS Table Info'!$B$6:$J$425,3,FALSE),"")))</f>
        <v>No Co-add</v>
      </c>
      <c r="F70" s="414" t="str">
        <f>IF($K70&lt;192,"",IF($K70&gt;597,"",IF(VLOOKUP($K70,'CIRS Table Info'!$B$6:$J$425,7,FALSE)="Data",VLOOKUP($K70,'CIRS Table Info'!$B$6:$J$425,3,FALSE),"")))</f>
        <v>No Co-add</v>
      </c>
      <c r="G70" s="367">
        <f>IF($K70&lt;192,"",IF($K70&gt;597,"",VLOOKUP($K70,'CIRS Table Info'!$B$6:$J$425,2,FALSE)))</f>
        <v>2.85</v>
      </c>
      <c r="H70" s="412" t="str">
        <f>IF($K70&lt;192,"",IF($K70&gt;597,"",VLOOKUP($K70,'CIRS Table Info'!$B$6:$J$425,6,FALSE)))</f>
        <v>Centers</v>
      </c>
      <c r="I70" s="414" t="str">
        <f>IF($K70&lt;192,"",IF($K70&gt;597,"",VLOOKUP($K70,'CIRS Table Info'!$B$6:$J$425,8,FALSE)))</f>
        <v>Centers</v>
      </c>
      <c r="J70" s="344">
        <f t="shared" si="4"/>
        <v>0.20833333333333301</v>
      </c>
      <c r="K70" s="141">
        <f t="shared" si="5"/>
        <v>234</v>
      </c>
      <c r="L70" s="468" t="str">
        <f>VLOOKUP($B70,'CIRS Table IDs'!$B:$P,15,FALSE)</f>
        <v>1,1,1</v>
      </c>
      <c r="M70" s="415" t="str">
        <f>IF($K70&lt;192,"",IF($K70&gt;597,"",VLOOKUP($K70,'CIRS Table Info'!$B$6:$K$425,10,FALSE)))</f>
        <v>N\A</v>
      </c>
      <c r="N70" s="503" t="s">
        <v>480</v>
      </c>
      <c r="O70" s="83"/>
      <c r="P70" s="83">
        <f t="shared" si="8"/>
        <v>1</v>
      </c>
      <c r="Q70" s="70" t="str">
        <f t="shared" si="6"/>
        <v/>
      </c>
    </row>
    <row r="71" spans="1:17" ht="15" x14ac:dyDescent="0.2">
      <c r="A71" s="342">
        <f t="shared" si="2"/>
        <v>76</v>
      </c>
      <c r="B71" s="45" t="str">
        <f t="shared" si="2"/>
        <v>CIRS_253RI_FNTHPLE001_ISS</v>
      </c>
      <c r="C71" s="343">
        <f t="shared" si="3"/>
        <v>400</v>
      </c>
      <c r="D71" s="412" t="str">
        <f>IF($K71&lt;192,"",IF($K71&gt;597,"",IF(VLOOKUP($K71,'CIRS Table Info'!$B$6:$J$425,4,FALSE)="Data",VLOOKUP($K71,'CIRS Table Info'!$B$6:$J$425,3,FALSE),"")))</f>
        <v>No Co-add</v>
      </c>
      <c r="E71" s="413" t="str">
        <f>IF($K71&lt;192,"",IF($K71&gt;597,"",IF(VLOOKUP($K71,'CIRS Table Info'!$B$6:$J$425,5,FALSE)="Data",VLOOKUP($K71,'CIRS Table Info'!$B$6:$J$425,3,FALSE),"")))</f>
        <v/>
      </c>
      <c r="F71" s="414" t="str">
        <f>IF($K71&lt;192,"",IF($K71&gt;597,"",IF(VLOOKUP($K71,'CIRS Table Info'!$B$6:$J$425,7,FALSE)="Data",VLOOKUP($K71,'CIRS Table Info'!$B$6:$J$425,3,FALSE),"")))</f>
        <v/>
      </c>
      <c r="G71" s="367">
        <f>IF($K71&lt;192,"",IF($K71&gt;597,"",VLOOKUP($K71,'CIRS Table Info'!$B$6:$J$425,2,FALSE)))</f>
        <v>15.67</v>
      </c>
      <c r="H71" s="412" t="s">
        <v>311</v>
      </c>
      <c r="I71" s="414" t="s">
        <v>311</v>
      </c>
      <c r="J71" s="344">
        <f t="shared" si="4"/>
        <v>0.55208333333333304</v>
      </c>
      <c r="K71" s="141">
        <f t="shared" si="5"/>
        <v>192</v>
      </c>
      <c r="L71" s="468">
        <f>VLOOKUP($B71,'CIRS Table IDs'!$B:$P,15,FALSE)</f>
        <v>1</v>
      </c>
      <c r="M71" s="415" t="str">
        <f>IF($K71&lt;192,"",IF($K71&gt;597,"",VLOOKUP($K71,'CIRS Table Info'!$B$6:$K$425,10,FALSE)))</f>
        <v>N\A</v>
      </c>
      <c r="N71" s="503"/>
      <c r="O71" s="83"/>
      <c r="P71" s="83">
        <f t="shared" si="8"/>
        <v>1</v>
      </c>
      <c r="Q71" s="70" t="str">
        <f t="shared" si="6"/>
        <v/>
      </c>
    </row>
    <row r="72" spans="1:17" ht="15" x14ac:dyDescent="0.2">
      <c r="A72" s="342">
        <f t="shared" si="2"/>
        <v>79</v>
      </c>
      <c r="B72" s="45" t="str">
        <f t="shared" si="2"/>
        <v>CIRS_254RB_COMPLITB2001_PRIME</v>
      </c>
      <c r="C72" s="343" t="str">
        <f t="shared" si="3"/>
        <v>No Co-add</v>
      </c>
      <c r="D72" s="412" t="str">
        <f>IF($K72&lt;192,"",IF($K72&gt;597,"",IF(VLOOKUP($K72,'CIRS Table Info'!$B$6:$J$425,4,FALSE)="Data",VLOOKUP($K72,'CIRS Table Info'!$B$6:$J$425,3,FALSE),"")))</f>
        <v>No Co-add</v>
      </c>
      <c r="E72" s="413" t="str">
        <f>IF($K72&lt;192,"",IF($K72&gt;597,"",IF(VLOOKUP($K72,'CIRS Table Info'!$B$6:$J$425,5,FALSE)="Data",VLOOKUP($K72,'CIRS Table Info'!$B$6:$J$425,3,FALSE),"")))</f>
        <v>No Co-add</v>
      </c>
      <c r="F72" s="414" t="str">
        <f>IF($K72&lt;192,"",IF($K72&gt;597,"",IF(VLOOKUP($K72,'CIRS Table Info'!$B$6:$J$425,7,FALSE)="Data",VLOOKUP($K72,'CIRS Table Info'!$B$6:$J$425,3,FALSE),"")))</f>
        <v>No Co-add</v>
      </c>
      <c r="G72" s="367">
        <f>IF($K72&lt;192,"",IF($K72&gt;597,"",VLOOKUP($K72,'CIRS Table Info'!$B$6:$J$425,2,FALSE)))</f>
        <v>2.85</v>
      </c>
      <c r="H72" s="412" t="str">
        <f>IF($K72&lt;192,"",IF($K72&gt;597,"",VLOOKUP($K72,'CIRS Table Info'!$B$6:$J$425,6,FALSE)))</f>
        <v>Centers</v>
      </c>
      <c r="I72" s="414" t="str">
        <f>IF($K72&lt;192,"",IF($K72&gt;597,"",VLOOKUP($K72,'CIRS Table Info'!$B$6:$J$425,8,FALSE)))</f>
        <v>Centers</v>
      </c>
      <c r="J72" s="344">
        <f t="shared" si="4"/>
        <v>0.25</v>
      </c>
      <c r="K72" s="141">
        <f t="shared" si="5"/>
        <v>234</v>
      </c>
      <c r="L72" s="468" t="str">
        <f>VLOOKUP($B72,'CIRS Table IDs'!$B:$P,15,FALSE)</f>
        <v>1,1,1,1,1</v>
      </c>
      <c r="M72" s="415" t="str">
        <f>IF($K72&lt;192,"",IF($K72&gt;597,"",VLOOKUP($K72,'CIRS Table Info'!$B$6:$K$425,10,FALSE)))</f>
        <v>N\A</v>
      </c>
      <c r="N72" s="503" t="s">
        <v>488</v>
      </c>
      <c r="O72" s="83"/>
      <c r="P72" s="83">
        <f t="shared" si="8"/>
        <v>1</v>
      </c>
      <c r="Q72" s="70" t="str">
        <f t="shared" si="6"/>
        <v/>
      </c>
    </row>
    <row r="73" spans="1:17" ht="15" x14ac:dyDescent="0.2">
      <c r="A73" s="342">
        <f t="shared" si="2"/>
        <v>86</v>
      </c>
      <c r="B73" s="45" t="str">
        <f t="shared" si="2"/>
        <v>CIRS_254RA_HALODARK001_PRIME</v>
      </c>
      <c r="C73" s="343" t="str">
        <f t="shared" si="3"/>
        <v>No Co-add</v>
      </c>
      <c r="D73" s="412" t="str">
        <f>IF($K73&lt;192,"",IF($K73&gt;597,"",IF(VLOOKUP($K73,'CIRS Table Info'!$B$6:$J$425,4,FALSE)="Data",VLOOKUP($K73,'CIRS Table Info'!$B$6:$J$425,3,FALSE),"")))</f>
        <v>No Co-add</v>
      </c>
      <c r="E73" s="413" t="str">
        <f>IF($K73&lt;192,"",IF($K73&gt;597,"",IF(VLOOKUP($K73,'CIRS Table Info'!$B$6:$J$425,5,FALSE)="Data",VLOOKUP($K73,'CIRS Table Info'!$B$6:$J$425,3,FALSE),"")))</f>
        <v>No Co-add</v>
      </c>
      <c r="F73" s="414" t="str">
        <f>IF($K73&lt;192,"",IF($K73&gt;597,"",IF(VLOOKUP($K73,'CIRS Table Info'!$B$6:$J$425,7,FALSE)="Data",VLOOKUP($K73,'CIRS Table Info'!$B$6:$J$425,3,FALSE),"")))</f>
        <v>No Co-add</v>
      </c>
      <c r="G73" s="367">
        <f>IF($K73&lt;192,"",IF($K73&gt;597,"",VLOOKUP($K73,'CIRS Table Info'!$B$6:$J$425,2,FALSE)))</f>
        <v>15.67</v>
      </c>
      <c r="H73" s="412" t="str">
        <f>IF($K73&lt;192,"",IF($K73&gt;597,"",VLOOKUP($K73,'CIRS Table Info'!$B$6:$J$425,6,FALSE)))</f>
        <v>Centers</v>
      </c>
      <c r="I73" s="414" t="str">
        <f>IF($K73&lt;192,"",IF($K73&gt;597,"",VLOOKUP($K73,'CIRS Table Info'!$B$6:$J$425,8,FALSE)))</f>
        <v>Centers</v>
      </c>
      <c r="J73" s="344">
        <f t="shared" si="4"/>
        <v>0.16180555555555601</v>
      </c>
      <c r="K73" s="141">
        <f t="shared" si="5"/>
        <v>209</v>
      </c>
      <c r="L73" s="468" t="str">
        <f>VLOOKUP($B73,'CIRS Table IDs'!$B:$P,15,FALSE)</f>
        <v>1,1,1</v>
      </c>
      <c r="M73" s="415" t="str">
        <f>IF($K73&lt;192,"",IF($K73&gt;597,"",VLOOKUP($K73,'CIRS Table Info'!$B$6:$K$425,10,FALSE)))</f>
        <v>N\A</v>
      </c>
      <c r="N73" s="503" t="s">
        <v>501</v>
      </c>
      <c r="O73" s="83"/>
      <c r="P73" s="83">
        <f t="shared" si="8"/>
        <v>1</v>
      </c>
      <c r="Q73" s="70" t="str">
        <f t="shared" si="6"/>
        <v/>
      </c>
    </row>
    <row r="74" spans="1:17" ht="15" x14ac:dyDescent="0.2">
      <c r="A74" s="342">
        <f t="shared" si="2"/>
        <v>87</v>
      </c>
      <c r="B74" s="45" t="str">
        <f t="shared" si="2"/>
        <v>CIRS_254RA_COMPUNLA3001_PRIME</v>
      </c>
      <c r="C74" s="343" t="str">
        <f t="shared" si="3"/>
        <v>No Co-add</v>
      </c>
      <c r="D74" s="412" t="str">
        <f>IF($K74&lt;192,"",IF($K74&gt;597,"",IF(VLOOKUP($K74,'CIRS Table Info'!$B$6:$J$425,4,FALSE)="Data",VLOOKUP($K74,'CIRS Table Info'!$B$6:$J$425,3,FALSE),"")))</f>
        <v>No Co-add</v>
      </c>
      <c r="E74" s="413" t="str">
        <f>IF($K74&lt;192,"",IF($K74&gt;597,"",IF(VLOOKUP($K74,'CIRS Table Info'!$B$6:$J$425,5,FALSE)="Data",VLOOKUP($K74,'CIRS Table Info'!$B$6:$J$425,3,FALSE),"")))</f>
        <v>No Co-add</v>
      </c>
      <c r="F74" s="414" t="str">
        <f>IF($K74&lt;192,"",IF($K74&gt;597,"",IF(VLOOKUP($K74,'CIRS Table Info'!$B$6:$J$425,7,FALSE)="Data",VLOOKUP($K74,'CIRS Table Info'!$B$6:$J$425,3,FALSE),"")))</f>
        <v>No Co-add</v>
      </c>
      <c r="G74" s="367">
        <f>IF($K74&lt;192,"",IF($K74&gt;597,"",VLOOKUP($K74,'CIRS Table Info'!$B$6:$J$425,2,FALSE)))</f>
        <v>2.85</v>
      </c>
      <c r="H74" s="412" t="str">
        <f>IF($K74&lt;192,"",IF($K74&gt;597,"",VLOOKUP($K74,'CIRS Table Info'!$B$6:$J$425,6,FALSE)))</f>
        <v>Centers</v>
      </c>
      <c r="I74" s="414" t="str">
        <f>IF($K74&lt;192,"",IF($K74&gt;597,"",VLOOKUP($K74,'CIRS Table Info'!$B$6:$J$425,8,FALSE)))</f>
        <v>Centers</v>
      </c>
      <c r="J74" s="344">
        <f t="shared" si="4"/>
        <v>0.16666666666666699</v>
      </c>
      <c r="K74" s="141">
        <f t="shared" si="5"/>
        <v>234</v>
      </c>
      <c r="L74" s="468" t="str">
        <f>VLOOKUP($B74,'CIRS Table IDs'!$B:$P,15,FALSE)</f>
        <v>1,1,1</v>
      </c>
      <c r="M74" s="415" t="str">
        <f>IF($K74&lt;192,"",IF($K74&gt;597,"",VLOOKUP($K74,'CIRS Table Info'!$B$6:$K$425,10,FALSE)))</f>
        <v>N\A</v>
      </c>
      <c r="N74" s="503" t="s">
        <v>503</v>
      </c>
      <c r="O74" s="83"/>
      <c r="P74" s="83">
        <f t="shared" si="8"/>
        <v>1</v>
      </c>
      <c r="Q74" s="70" t="str">
        <f t="shared" si="6"/>
        <v/>
      </c>
    </row>
    <row r="75" spans="1:17" ht="15" x14ac:dyDescent="0.2">
      <c r="A75" s="342">
        <f t="shared" si="2"/>
        <v>98</v>
      </c>
      <c r="B75" s="45" t="str">
        <f t="shared" si="2"/>
        <v>CIRS_255RI_HRESCOLBC001_ISS</v>
      </c>
      <c r="C75" s="343">
        <f t="shared" si="3"/>
        <v>2200</v>
      </c>
      <c r="D75" s="412" t="str">
        <f>IF($K75&lt;192,"",IF($K75&gt;597,"",IF(VLOOKUP($K75,'CIRS Table Info'!$B$6:$J$425,4,FALSE)="Data",VLOOKUP($K75,'CIRS Table Info'!$B$6:$J$425,3,FALSE),"")))</f>
        <v>No Co-add</v>
      </c>
      <c r="E75" s="413" t="str">
        <f>IF($K75&lt;192,"",IF($K75&gt;597,"",IF(VLOOKUP($K75,'CIRS Table Info'!$B$6:$J$425,5,FALSE)="Data",VLOOKUP($K75,'CIRS Table Info'!$B$6:$J$425,3,FALSE),"")))</f>
        <v>No Co-add</v>
      </c>
      <c r="F75" s="414" t="str">
        <f>IF($K75&lt;192,"",IF($K75&gt;597,"",IF(VLOOKUP($K75,'CIRS Table Info'!$B$6:$J$425,7,FALSE)="Data",VLOOKUP($K75,'CIRS Table Info'!$B$6:$J$425,3,FALSE),"")))</f>
        <v/>
      </c>
      <c r="G75" s="367">
        <f>IF($K75&lt;192,"",IF($K75&gt;597,"",VLOOKUP($K75,'CIRS Table Info'!$B$6:$J$425,2,FALSE)))</f>
        <v>15.67</v>
      </c>
      <c r="H75" s="412" t="s">
        <v>311</v>
      </c>
      <c r="I75" s="414" t="s">
        <v>311</v>
      </c>
      <c r="J75" s="344">
        <f t="shared" si="4"/>
        <v>0.17013888888888901</v>
      </c>
      <c r="K75" s="141">
        <f t="shared" si="5"/>
        <v>550</v>
      </c>
      <c r="L75" s="468">
        <f>VLOOKUP($B75,'CIRS Table IDs'!$B:$P,15,FALSE)</f>
        <v>1</v>
      </c>
      <c r="M75" s="415">
        <f>IF($K75&lt;192,"",IF($K75&gt;597,"",VLOOKUP($K75,'CIRS Table Info'!$B$6:$K$425,10,FALSE)))</f>
        <v>5</v>
      </c>
      <c r="N75" s="503"/>
      <c r="O75" s="83"/>
      <c r="P75" s="83">
        <f t="shared" si="8"/>
        <v>1</v>
      </c>
      <c r="Q75" s="70" t="str">
        <f t="shared" si="6"/>
        <v/>
      </c>
    </row>
    <row r="76" spans="1:17" ht="15" x14ac:dyDescent="0.2">
      <c r="A76" s="342">
        <f t="shared" si="2"/>
        <v>99</v>
      </c>
      <c r="B76" s="45" t="str">
        <f t="shared" si="2"/>
        <v>CIRS_255RI_GAMCRUOCC001_VIMS</v>
      </c>
      <c r="C76" s="343">
        <f t="shared" si="3"/>
        <v>2200</v>
      </c>
      <c r="D76" s="412" t="str">
        <f>IF($K76&lt;192,"",IF($K76&gt;597,"",IF(VLOOKUP($K76,'CIRS Table Info'!$B$6:$J$425,4,FALSE)="Data",VLOOKUP($K76,'CIRS Table Info'!$B$6:$J$425,3,FALSE),"")))</f>
        <v>No Co-add</v>
      </c>
      <c r="E76" s="413" t="str">
        <f>IF($K76&lt;192,"",IF($K76&gt;597,"",IF(VLOOKUP($K76,'CIRS Table Info'!$B$6:$J$425,5,FALSE)="Data",VLOOKUP($K76,'CIRS Table Info'!$B$6:$J$425,3,FALSE),"")))</f>
        <v>No Co-add</v>
      </c>
      <c r="F76" s="414" t="str">
        <f>IF($K76&lt;192,"",IF($K76&gt;597,"",IF(VLOOKUP($K76,'CIRS Table Info'!$B$6:$J$425,7,FALSE)="Data",VLOOKUP($K76,'CIRS Table Info'!$B$6:$J$425,3,FALSE),"")))</f>
        <v/>
      </c>
      <c r="G76" s="367">
        <f>IF($K76&lt;192,"",IF($K76&gt;597,"",VLOOKUP($K76,'CIRS Table Info'!$B$6:$J$425,2,FALSE)))</f>
        <v>15.67</v>
      </c>
      <c r="H76" s="412" t="str">
        <f>IF($K76&lt;192,"",IF($K76&gt;597,"",VLOOKUP($K76,'CIRS Table Info'!$B$6:$J$425,6,FALSE)))</f>
        <v>Centers</v>
      </c>
      <c r="I76" s="414" t="s">
        <v>311</v>
      </c>
      <c r="J76" s="344">
        <f t="shared" si="4"/>
        <v>0.141666666666667</v>
      </c>
      <c r="K76" s="141">
        <f t="shared" si="5"/>
        <v>500</v>
      </c>
      <c r="L76" s="468">
        <f>VLOOKUP($B76,'CIRS Table IDs'!$B:$P,15,FALSE)</f>
        <v>1</v>
      </c>
      <c r="M76" s="415">
        <f>IF($K76&lt;192,"",IF($K76&gt;597,"",VLOOKUP($K76,'CIRS Table Info'!$B$6:$K$425,10,FALSE)))</f>
        <v>4</v>
      </c>
      <c r="N76" s="503"/>
      <c r="O76" s="83"/>
      <c r="P76" s="83">
        <f t="shared" si="8"/>
        <v>1</v>
      </c>
      <c r="Q76" s="70" t="str">
        <f t="shared" si="6"/>
        <v/>
      </c>
    </row>
    <row r="77" spans="1:17" ht="15" x14ac:dyDescent="0.2">
      <c r="A77" s="342">
        <f t="shared" si="2"/>
        <v>100</v>
      </c>
      <c r="B77" s="45" t="str">
        <f t="shared" si="2"/>
        <v>CIRS_255RA_HALOLIT001_PRIME</v>
      </c>
      <c r="C77" s="343">
        <f t="shared" si="3"/>
        <v>2200</v>
      </c>
      <c r="D77" s="412" t="str">
        <f>IF($K77&lt;192,"",IF($K77&gt;597,"",IF(VLOOKUP($K77,'CIRS Table Info'!$B$6:$J$425,4,FALSE)="Data",VLOOKUP($K77,'CIRS Table Info'!$B$6:$J$425,3,FALSE),"")))</f>
        <v>No Co-add</v>
      </c>
      <c r="E77" s="413" t="str">
        <f>IF($K77&lt;192,"",IF($K77&gt;597,"",IF(VLOOKUP($K77,'CIRS Table Info'!$B$6:$J$425,5,FALSE)="Data",VLOOKUP($K77,'CIRS Table Info'!$B$6:$J$425,3,FALSE),"")))</f>
        <v>No Co-add</v>
      </c>
      <c r="F77" s="414" t="str">
        <f>IF($K77&lt;192,"",IF($K77&gt;597,"",IF(VLOOKUP($K77,'CIRS Table Info'!$B$6:$J$425,7,FALSE)="Data",VLOOKUP($K77,'CIRS Table Info'!$B$6:$J$425,3,FALSE),"")))</f>
        <v/>
      </c>
      <c r="G77" s="367">
        <f>IF($K77&lt;192,"",IF($K77&gt;597,"",VLOOKUP($K77,'CIRS Table Info'!$B$6:$J$425,2,FALSE)))</f>
        <v>15.67</v>
      </c>
      <c r="H77" s="412" t="str">
        <f>IF($K77&lt;192,"",IF($K77&gt;597,"",VLOOKUP($K77,'CIRS Table Info'!$B$6:$J$425,6,FALSE)))</f>
        <v>Centers</v>
      </c>
      <c r="I77" s="414" t="s">
        <v>311</v>
      </c>
      <c r="J77" s="344">
        <f t="shared" si="4"/>
        <v>0.16111111111111101</v>
      </c>
      <c r="K77" s="141">
        <f t="shared" si="5"/>
        <v>203</v>
      </c>
      <c r="L77" s="468" t="str">
        <f>VLOOKUP($B77,'CIRS Table IDs'!$B:$P,15,FALSE)</f>
        <v>1,1,1</v>
      </c>
      <c r="M77" s="415" t="str">
        <f>IF($K77&lt;192,"",IF($K77&gt;597,"",VLOOKUP($K77,'CIRS Table Info'!$B$6:$K$425,10,FALSE)))</f>
        <v>N\A</v>
      </c>
      <c r="N77" s="503" t="s">
        <v>501</v>
      </c>
      <c r="O77" s="83"/>
      <c r="P77" s="83">
        <f t="shared" si="8"/>
        <v>1</v>
      </c>
      <c r="Q77" s="70" t="str">
        <f t="shared" si="6"/>
        <v/>
      </c>
    </row>
    <row r="78" spans="1:17" ht="15" x14ac:dyDescent="0.2">
      <c r="A78" s="342">
        <f t="shared" ref="A78:B97" si="9">A29</f>
        <v>101</v>
      </c>
      <c r="B78" s="45" t="str">
        <f t="shared" si="9"/>
        <v>CIRS_255RI_COMPLITB001_VIMS</v>
      </c>
      <c r="C78" s="343" t="str">
        <f t="shared" si="3"/>
        <v>No Co-add</v>
      </c>
      <c r="D78" s="412" t="str">
        <f>IF($K78&lt;192,"",IF($K78&gt;597,"",IF(VLOOKUP($K78,'CIRS Table Info'!$B$6:$J$425,4,FALSE)="Data",VLOOKUP($K78,'CIRS Table Info'!$B$6:$J$425,3,FALSE),"")))</f>
        <v>No Co-add</v>
      </c>
      <c r="E78" s="413" t="str">
        <f>IF($K78&lt;192,"",IF($K78&gt;597,"",IF(VLOOKUP($K78,'CIRS Table Info'!$B$6:$J$425,5,FALSE)="Data",VLOOKUP($K78,'CIRS Table Info'!$B$6:$J$425,3,FALSE),"")))</f>
        <v>No Co-add</v>
      </c>
      <c r="F78" s="414" t="str">
        <f>IF($K78&lt;192,"",IF($K78&gt;597,"",IF(VLOOKUP($K78,'CIRS Table Info'!$B$6:$J$425,7,FALSE)="Data",VLOOKUP($K78,'CIRS Table Info'!$B$6:$J$425,3,FALSE),"")))</f>
        <v>No Co-add</v>
      </c>
      <c r="G78" s="367">
        <f>IF($K78&lt;192,"",IF($K78&gt;597,"",VLOOKUP($K78,'CIRS Table Info'!$B$6:$J$425,2,FALSE)))</f>
        <v>15.67</v>
      </c>
      <c r="H78" s="412" t="str">
        <f>IF($K78&lt;192,"",IF($K78&gt;597,"",VLOOKUP($K78,'CIRS Table Info'!$B$6:$J$425,6,FALSE)))</f>
        <v>Centers</v>
      </c>
      <c r="I78" s="414" t="str">
        <f>IF($K78&lt;192,"",IF($K78&gt;597,"",VLOOKUP($K78,'CIRS Table Info'!$B$6:$J$425,8,FALSE)))</f>
        <v>Centers</v>
      </c>
      <c r="J78" s="344">
        <f t="shared" si="4"/>
        <v>0.125</v>
      </c>
      <c r="K78" s="141">
        <f t="shared" si="5"/>
        <v>453</v>
      </c>
      <c r="L78" s="468">
        <f>VLOOKUP($B78,'CIRS Table IDs'!$B:$P,15,FALSE)</f>
        <v>1</v>
      </c>
      <c r="M78" s="415">
        <f>IF($K78&lt;192,"",IF($K78&gt;597,"",VLOOKUP($K78,'CIRS Table Info'!$B$6:$K$425,10,FALSE)))</f>
        <v>3</v>
      </c>
      <c r="N78" s="503"/>
      <c r="O78" s="83"/>
      <c r="P78" s="83">
        <f t="shared" si="8"/>
        <v>1</v>
      </c>
      <c r="Q78" s="70" t="str">
        <f t="shared" si="6"/>
        <v/>
      </c>
    </row>
    <row r="79" spans="1:17" ht="15" x14ac:dyDescent="0.2">
      <c r="A79" s="342">
        <f t="shared" si="9"/>
        <v>103</v>
      </c>
      <c r="B79" s="45" t="str">
        <f t="shared" si="9"/>
        <v>CIRS_255RI_PROPRETRG003_ISS</v>
      </c>
      <c r="C79" s="343">
        <f t="shared" si="3"/>
        <v>400</v>
      </c>
      <c r="D79" s="412" t="str">
        <f>IF($K79&lt;192,"",IF($K79&gt;597,"",IF(VLOOKUP($K79,'CIRS Table Info'!$B$6:$J$425,4,FALSE)="Data",VLOOKUP($K79,'CIRS Table Info'!$B$6:$J$425,3,FALSE),"")))</f>
        <v>No Co-add</v>
      </c>
      <c r="E79" s="413" t="str">
        <f>IF($K79&lt;192,"",IF($K79&gt;597,"",IF(VLOOKUP($K79,'CIRS Table Info'!$B$6:$J$425,5,FALSE)="Data",VLOOKUP($K79,'CIRS Table Info'!$B$6:$J$425,3,FALSE),"")))</f>
        <v/>
      </c>
      <c r="F79" s="414" t="str">
        <f>IF($K79&lt;192,"",IF($K79&gt;597,"",IF(VLOOKUP($K79,'CIRS Table Info'!$B$6:$J$425,7,FALSE)="Data",VLOOKUP($K79,'CIRS Table Info'!$B$6:$J$425,3,FALSE),"")))</f>
        <v/>
      </c>
      <c r="G79" s="367">
        <f>IF($K79&lt;192,"",IF($K79&gt;597,"",VLOOKUP($K79,'CIRS Table Info'!$B$6:$J$425,2,FALSE)))</f>
        <v>15.67</v>
      </c>
      <c r="H79" s="412" t="s">
        <v>311</v>
      </c>
      <c r="I79" s="414" t="s">
        <v>311</v>
      </c>
      <c r="J79" s="344">
        <f t="shared" si="4"/>
        <v>8.3333333333333301E-2</v>
      </c>
      <c r="K79" s="141">
        <f t="shared" si="5"/>
        <v>192</v>
      </c>
      <c r="L79" s="468">
        <f>VLOOKUP($B79,'CIRS Table IDs'!$B:$P,15,FALSE)</f>
        <v>1</v>
      </c>
      <c r="M79" s="415" t="str">
        <f>IF($K79&lt;192,"",IF($K79&gt;597,"",VLOOKUP($K79,'CIRS Table Info'!$B$6:$K$425,10,FALSE)))</f>
        <v>N\A</v>
      </c>
      <c r="N79" s="503"/>
      <c r="O79" s="83"/>
      <c r="P79" s="83">
        <f t="shared" si="8"/>
        <v>1</v>
      </c>
      <c r="Q79" s="70" t="str">
        <f t="shared" si="6"/>
        <v/>
      </c>
    </row>
    <row r="80" spans="1:17" ht="15" x14ac:dyDescent="0.2">
      <c r="A80" s="342">
        <f t="shared" si="9"/>
        <v>104</v>
      </c>
      <c r="B80" s="45" t="str">
        <f t="shared" si="9"/>
        <v>CIRS_255RI_HIRESAFRG001_ISS</v>
      </c>
      <c r="C80" s="343">
        <f t="shared" si="3"/>
        <v>2200</v>
      </c>
      <c r="D80" s="412" t="str">
        <f>IF($K80&lt;192,"",IF($K80&gt;597,"",IF(VLOOKUP($K80,'CIRS Table Info'!$B$6:$J$425,4,FALSE)="Data",VLOOKUP($K80,'CIRS Table Info'!$B$6:$J$425,3,FALSE),"")))</f>
        <v>No Co-add</v>
      </c>
      <c r="E80" s="413" t="str">
        <f>IF($K80&lt;192,"",IF($K80&gt;597,"",IF(VLOOKUP($K80,'CIRS Table Info'!$B$6:$J$425,5,FALSE)="Data",VLOOKUP($K80,'CIRS Table Info'!$B$6:$J$425,3,FALSE),"")))</f>
        <v>No Co-add</v>
      </c>
      <c r="F80" s="414" t="str">
        <f>IF($K80&lt;192,"",IF($K80&gt;597,"",IF(VLOOKUP($K80,'CIRS Table Info'!$B$6:$J$425,7,FALSE)="Data",VLOOKUP($K80,'CIRS Table Info'!$B$6:$J$425,3,FALSE),"")))</f>
        <v/>
      </c>
      <c r="G80" s="367">
        <f>IF($K80&lt;192,"",IF($K80&gt;597,"",VLOOKUP($K80,'CIRS Table Info'!$B$6:$J$425,2,FALSE)))</f>
        <v>15.67</v>
      </c>
      <c r="H80" s="412" t="str">
        <f>IF($K80&lt;192,"",IF($K80&gt;597,"",VLOOKUP($K80,'CIRS Table Info'!$B$6:$J$425,6,FALSE)))</f>
        <v>Centers</v>
      </c>
      <c r="I80" s="414" t="s">
        <v>311</v>
      </c>
      <c r="J80" s="344">
        <f t="shared" si="4"/>
        <v>0.125</v>
      </c>
      <c r="K80" s="141">
        <f t="shared" si="5"/>
        <v>450</v>
      </c>
      <c r="L80" s="468">
        <f>VLOOKUP($B80,'CIRS Table IDs'!$B:$P,15,FALSE)</f>
        <v>1</v>
      </c>
      <c r="M80" s="415">
        <f>IF($K80&lt;192,"",IF($K80&gt;597,"",VLOOKUP($K80,'CIRS Table Info'!$B$6:$K$425,10,FALSE)))</f>
        <v>3</v>
      </c>
      <c r="N80" s="503"/>
      <c r="O80" s="83"/>
      <c r="P80" s="83">
        <f t="shared" si="8"/>
        <v>1</v>
      </c>
      <c r="Q80" s="70" t="str">
        <f t="shared" si="6"/>
        <v/>
      </c>
    </row>
    <row r="81" spans="1:17" ht="15" x14ac:dyDescent="0.2">
      <c r="A81" s="342">
        <f t="shared" si="9"/>
        <v>105</v>
      </c>
      <c r="B81" s="45" t="str">
        <f t="shared" si="9"/>
        <v>CIRS_255RI_CASDIVUNL001_PRIME</v>
      </c>
      <c r="C81" s="343">
        <f t="shared" si="3"/>
        <v>2200</v>
      </c>
      <c r="D81" s="412" t="str">
        <f>IF($K81&lt;192,"",IF($K81&gt;597,"",IF(VLOOKUP($K81,'CIRS Table Info'!$B$6:$J$425,4,FALSE)="Data",VLOOKUP($K81,'CIRS Table Info'!$B$6:$J$425,3,FALSE),"")))</f>
        <v>No Co-add</v>
      </c>
      <c r="E81" s="413" t="str">
        <f>IF($K81&lt;192,"",IF($K81&gt;597,"",IF(VLOOKUP($K81,'CIRS Table Info'!$B$6:$J$425,5,FALSE)="Data",VLOOKUP($K81,'CIRS Table Info'!$B$6:$J$425,3,FALSE),"")))</f>
        <v>No Co-add</v>
      </c>
      <c r="F81" s="414" t="str">
        <f>IF($K81&lt;192,"",IF($K81&gt;597,"",IF(VLOOKUP($K81,'CIRS Table Info'!$B$6:$J$425,7,FALSE)="Data",VLOOKUP($K81,'CIRS Table Info'!$B$6:$J$425,3,FALSE),"")))</f>
        <v/>
      </c>
      <c r="G81" s="367">
        <f>IF($K81&lt;192,"",IF($K81&gt;597,"",VLOOKUP($K81,'CIRS Table Info'!$B$6:$J$425,2,FALSE)))</f>
        <v>15.67</v>
      </c>
      <c r="H81" s="412" t="str">
        <f>IF($K81&lt;192,"",IF($K81&gt;597,"",VLOOKUP($K81,'CIRS Table Info'!$B$6:$J$425,6,FALSE)))</f>
        <v>Centers</v>
      </c>
      <c r="I81" s="414" t="s">
        <v>311</v>
      </c>
      <c r="J81" s="344">
        <f t="shared" si="4"/>
        <v>0.20833333333333301</v>
      </c>
      <c r="K81" s="141">
        <f t="shared" si="5"/>
        <v>203</v>
      </c>
      <c r="L81" s="468" t="str">
        <f>VLOOKUP($B81,'CIRS Table IDs'!$B:$P,15,FALSE)</f>
        <v>1,1,1</v>
      </c>
      <c r="M81" s="415" t="str">
        <f>IF($K81&lt;192,"",IF($K81&gt;597,"",VLOOKUP($K81,'CIRS Table Info'!$B$6:$K$425,10,FALSE)))</f>
        <v>N\A</v>
      </c>
      <c r="N81" s="503" t="s">
        <v>527</v>
      </c>
      <c r="O81" s="83"/>
      <c r="P81" s="83">
        <f t="shared" si="8"/>
        <v>1</v>
      </c>
      <c r="Q81" s="70" t="str">
        <f t="shared" si="6"/>
        <v/>
      </c>
    </row>
    <row r="82" spans="1:17" ht="15" x14ac:dyDescent="0.2">
      <c r="A82" s="342">
        <f t="shared" si="9"/>
        <v>107</v>
      </c>
      <c r="B82" s="45" t="str">
        <f t="shared" si="9"/>
        <v>CIRS_255RC_COMPUNLC1001_PRIME</v>
      </c>
      <c r="C82" s="343">
        <f t="shared" si="3"/>
        <v>2200</v>
      </c>
      <c r="D82" s="412" t="str">
        <f>IF($K82&lt;192,"",IF($K82&gt;597,"",IF(VLOOKUP($K82,'CIRS Table Info'!$B$6:$J$425,4,FALSE)="Data",VLOOKUP($K82,'CIRS Table Info'!$B$6:$J$425,3,FALSE),"")))</f>
        <v>No Co-add</v>
      </c>
      <c r="E82" s="413" t="str">
        <f>IF($K82&lt;192,"",IF($K82&gt;597,"",IF(VLOOKUP($K82,'CIRS Table Info'!$B$6:$J$425,5,FALSE)="Data",VLOOKUP($K82,'CIRS Table Info'!$B$6:$J$425,3,FALSE),"")))</f>
        <v>No Co-add</v>
      </c>
      <c r="F82" s="414" t="str">
        <f>IF($K82&lt;192,"",IF($K82&gt;597,"",IF(VLOOKUP($K82,'CIRS Table Info'!$B$6:$J$425,7,FALSE)="Data",VLOOKUP($K82,'CIRS Table Info'!$B$6:$J$425,3,FALSE),"")))</f>
        <v/>
      </c>
      <c r="G82" s="367">
        <f>IF($K82&lt;192,"",IF($K82&gt;597,"",VLOOKUP($K82,'CIRS Table Info'!$B$6:$J$425,2,FALSE)))</f>
        <v>2.85</v>
      </c>
      <c r="H82" s="412" t="str">
        <f>IF($K82&lt;192,"",IF($K82&gt;597,"",VLOOKUP($K82,'CIRS Table Info'!$B$6:$J$425,6,FALSE)))</f>
        <v>Centers</v>
      </c>
      <c r="I82" s="414" t="s">
        <v>311</v>
      </c>
      <c r="J82" s="344">
        <f t="shared" si="4"/>
        <v>0.16666666666666699</v>
      </c>
      <c r="K82" s="141">
        <f t="shared" si="5"/>
        <v>228</v>
      </c>
      <c r="L82" s="468" t="str">
        <f>VLOOKUP($B82,'CIRS Table IDs'!$B:$P,15,FALSE)</f>
        <v>1,1,1</v>
      </c>
      <c r="M82" s="415" t="str">
        <f>IF($K82&lt;192,"",IF($K82&gt;597,"",VLOOKUP($K82,'CIRS Table Info'!$B$6:$K$425,10,FALSE)))</f>
        <v>N\A</v>
      </c>
      <c r="N82" s="503" t="s">
        <v>428</v>
      </c>
      <c r="O82" s="83"/>
      <c r="P82" s="83">
        <f t="shared" si="8"/>
        <v>1</v>
      </c>
      <c r="Q82" s="70" t="str">
        <f t="shared" si="6"/>
        <v/>
      </c>
    </row>
    <row r="83" spans="1:17" ht="15" x14ac:dyDescent="0.2">
      <c r="A83" s="342">
        <f t="shared" si="9"/>
        <v>108</v>
      </c>
      <c r="B83" s="45" t="str">
        <f t="shared" si="9"/>
        <v>CIRS_255RF_ANSASTARE001_PRIME</v>
      </c>
      <c r="C83" s="343">
        <f t="shared" si="3"/>
        <v>2200</v>
      </c>
      <c r="D83" s="412" t="str">
        <f>IF($K83&lt;192,"",IF($K83&gt;597,"",IF(VLOOKUP($K83,'CIRS Table Info'!$B$6:$J$425,4,FALSE)="Data",VLOOKUP($K83,'CIRS Table Info'!$B$6:$J$425,3,FALSE),"")))</f>
        <v>No Co-add</v>
      </c>
      <c r="E83" s="413" t="str">
        <f>IF($K83&lt;192,"",IF($K83&gt;597,"",IF(VLOOKUP($K83,'CIRS Table Info'!$B$6:$J$425,5,FALSE)="Data",VLOOKUP($K83,'CIRS Table Info'!$B$6:$J$425,3,FALSE),"")))</f>
        <v>No Co-add</v>
      </c>
      <c r="F83" s="414" t="str">
        <f>IF($K83&lt;192,"",IF($K83&gt;597,"",IF(VLOOKUP($K83,'CIRS Table Info'!$B$6:$J$425,7,FALSE)="Data",VLOOKUP($K83,'CIRS Table Info'!$B$6:$J$425,3,FALSE),"")))</f>
        <v/>
      </c>
      <c r="G83" s="367">
        <f>IF($K83&lt;192,"",IF($K83&gt;597,"",VLOOKUP($K83,'CIRS Table Info'!$B$6:$J$425,2,FALSE)))</f>
        <v>15.67</v>
      </c>
      <c r="H83" s="412" t="str">
        <f>IF($K83&lt;192,"",IF($K83&gt;597,"",VLOOKUP($K83,'CIRS Table Info'!$B$6:$J$425,6,FALSE)))</f>
        <v>Centers</v>
      </c>
      <c r="I83" s="414" t="s">
        <v>311</v>
      </c>
      <c r="J83" s="344">
        <f t="shared" si="4"/>
        <v>0.41041666666666698</v>
      </c>
      <c r="K83" s="141">
        <f t="shared" si="5"/>
        <v>203</v>
      </c>
      <c r="L83" s="468">
        <f>VLOOKUP($B83,'CIRS Table IDs'!$B:$P,15,FALSE)</f>
        <v>1</v>
      </c>
      <c r="M83" s="415" t="str">
        <f>IF($K83&lt;192,"",IF($K83&gt;597,"",VLOOKUP($K83,'CIRS Table Info'!$B$6:$K$425,10,FALSE)))</f>
        <v>N\A</v>
      </c>
      <c r="N83" s="503"/>
      <c r="O83" s="83"/>
      <c r="P83" s="83">
        <f t="shared" si="8"/>
        <v>1</v>
      </c>
      <c r="Q83" s="70" t="str">
        <f t="shared" si="6"/>
        <v/>
      </c>
    </row>
    <row r="84" spans="1:17" ht="15" x14ac:dyDescent="0.2">
      <c r="A84" s="342">
        <f t="shared" si="9"/>
        <v>109</v>
      </c>
      <c r="B84" s="45" t="str">
        <f t="shared" si="9"/>
        <v>CIRS_255RI_FNTHPLE001_ISS</v>
      </c>
      <c r="C84" s="343">
        <f t="shared" si="3"/>
        <v>2200</v>
      </c>
      <c r="D84" s="412" t="str">
        <f>IF($K84&lt;192,"",IF($K84&gt;597,"",IF(VLOOKUP($K84,'CIRS Table Info'!$B$6:$J$425,4,FALSE)="Data",VLOOKUP($K84,'CIRS Table Info'!$B$6:$J$425,3,FALSE),"")))</f>
        <v>No Co-add</v>
      </c>
      <c r="E84" s="413" t="str">
        <f>IF($K84&lt;192,"",IF($K84&gt;597,"",IF(VLOOKUP($K84,'CIRS Table Info'!$B$6:$J$425,5,FALSE)="Data",VLOOKUP($K84,'CIRS Table Info'!$B$6:$J$425,3,FALSE),"")))</f>
        <v>No Co-add</v>
      </c>
      <c r="F84" s="414" t="str">
        <f>IF($K84&lt;192,"",IF($K84&gt;597,"",IF(VLOOKUP($K84,'CIRS Table Info'!$B$6:$J$425,7,FALSE)="Data",VLOOKUP($K84,'CIRS Table Info'!$B$6:$J$425,3,FALSE),"")))</f>
        <v/>
      </c>
      <c r="G84" s="367">
        <f>IF($K84&lt;192,"",IF($K84&gt;597,"",VLOOKUP($K84,'CIRS Table Info'!$B$6:$J$425,2,FALSE)))</f>
        <v>15.67</v>
      </c>
      <c r="H84" s="412" t="str">
        <f>IF($K84&lt;192,"",IF($K84&gt;597,"",VLOOKUP($K84,'CIRS Table Info'!$B$6:$J$425,6,FALSE)))</f>
        <v>Centers</v>
      </c>
      <c r="I84" s="414" t="s">
        <v>311</v>
      </c>
      <c r="J84" s="344">
        <f t="shared" si="4"/>
        <v>0.32569444444444401</v>
      </c>
      <c r="K84" s="141">
        <f t="shared" si="5"/>
        <v>500</v>
      </c>
      <c r="L84" s="468">
        <f>VLOOKUP($B84,'CIRS Table IDs'!$B:$P,15,FALSE)</f>
        <v>2</v>
      </c>
      <c r="M84" s="415">
        <f>IF($K84&lt;192,"",IF($K84&gt;597,"",VLOOKUP($K84,'CIRS Table Info'!$B$6:$K$425,10,FALSE)))</f>
        <v>4</v>
      </c>
      <c r="N84" s="503"/>
      <c r="O84" s="83"/>
      <c r="P84" s="83">
        <f t="shared" si="8"/>
        <v>1</v>
      </c>
      <c r="Q84" s="70" t="str">
        <f t="shared" si="6"/>
        <v/>
      </c>
    </row>
    <row r="85" spans="1:17" ht="15" x14ac:dyDescent="0.2">
      <c r="A85" s="342">
        <f t="shared" si="9"/>
        <v>111</v>
      </c>
      <c r="B85" s="45" t="str">
        <f t="shared" si="9"/>
        <v>CIRS_255RF_ANSASTARE002_PRIME</v>
      </c>
      <c r="C85" s="343">
        <f t="shared" si="3"/>
        <v>2200</v>
      </c>
      <c r="D85" s="412" t="str">
        <f>IF($K85&lt;192,"",IF($K85&gt;597,"",IF(VLOOKUP($K85,'CIRS Table Info'!$B$6:$J$425,4,FALSE)="Data",VLOOKUP($K85,'CIRS Table Info'!$B$6:$J$425,3,FALSE),"")))</f>
        <v>No Co-add</v>
      </c>
      <c r="E85" s="413" t="str">
        <f>IF($K85&lt;192,"",IF($K85&gt;597,"",IF(VLOOKUP($K85,'CIRS Table Info'!$B$6:$J$425,5,FALSE)="Data",VLOOKUP($K85,'CIRS Table Info'!$B$6:$J$425,3,FALSE),"")))</f>
        <v>No Co-add</v>
      </c>
      <c r="F85" s="414" t="str">
        <f>IF($K85&lt;192,"",IF($K85&gt;597,"",IF(VLOOKUP($K85,'CIRS Table Info'!$B$6:$J$425,7,FALSE)="Data",VLOOKUP($K85,'CIRS Table Info'!$B$6:$J$425,3,FALSE),"")))</f>
        <v/>
      </c>
      <c r="G85" s="367">
        <f>IF($K85&lt;192,"",IF($K85&gt;597,"",VLOOKUP($K85,'CIRS Table Info'!$B$6:$J$425,2,FALSE)))</f>
        <v>15.67</v>
      </c>
      <c r="H85" s="412" t="str">
        <f>IF($K85&lt;192,"",IF($K85&gt;597,"",VLOOKUP($K85,'CIRS Table Info'!$B$6:$J$425,6,FALSE)))</f>
        <v>Centers</v>
      </c>
      <c r="I85" s="414" t="s">
        <v>311</v>
      </c>
      <c r="J85" s="344">
        <f t="shared" si="4"/>
        <v>0.41111111111111098</v>
      </c>
      <c r="K85" s="141">
        <f t="shared" si="5"/>
        <v>203</v>
      </c>
      <c r="L85" s="468">
        <f>VLOOKUP($B85,'CIRS Table IDs'!$B:$P,15,FALSE)</f>
        <v>1</v>
      </c>
      <c r="M85" s="415" t="str">
        <f>IF($K85&lt;192,"",IF($K85&gt;597,"",VLOOKUP($K85,'CIRS Table Info'!$B$6:$K$425,10,FALSE)))</f>
        <v>N\A</v>
      </c>
      <c r="N85" s="503"/>
      <c r="O85" s="83"/>
      <c r="P85" s="83">
        <f t="shared" si="8"/>
        <v>1</v>
      </c>
      <c r="Q85" s="70" t="str">
        <f t="shared" si="6"/>
        <v/>
      </c>
    </row>
    <row r="86" spans="1:17" ht="15" x14ac:dyDescent="0.2">
      <c r="A86" s="342">
        <f t="shared" si="9"/>
        <v>114</v>
      </c>
      <c r="B86" s="45" t="str">
        <f t="shared" si="9"/>
        <v>CIRS_256RI_VYCMAOCC001_VIMS</v>
      </c>
      <c r="C86" s="343">
        <f t="shared" si="3"/>
        <v>2200</v>
      </c>
      <c r="D86" s="412" t="str">
        <f>IF($K86&lt;192,"",IF($K86&gt;597,"",IF(VLOOKUP($K86,'CIRS Table Info'!$B$6:$J$425,4,FALSE)="Data",VLOOKUP($K86,'CIRS Table Info'!$B$6:$J$425,3,FALSE),"")))</f>
        <v>No Co-add</v>
      </c>
      <c r="E86" s="413" t="str">
        <f>IF($K86&lt;192,"",IF($K86&gt;597,"",IF(VLOOKUP($K86,'CIRS Table Info'!$B$6:$J$425,5,FALSE)="Data",VLOOKUP($K86,'CIRS Table Info'!$B$6:$J$425,3,FALSE),"")))</f>
        <v>No Co-add</v>
      </c>
      <c r="F86" s="414" t="str">
        <f>IF($K86&lt;192,"",IF($K86&gt;597,"",IF(VLOOKUP($K86,'CIRS Table Info'!$B$6:$J$425,7,FALSE)="Data",VLOOKUP($K86,'CIRS Table Info'!$B$6:$J$425,3,FALSE),"")))</f>
        <v/>
      </c>
      <c r="G86" s="367">
        <f>IF($K86&lt;192,"",IF($K86&gt;597,"",VLOOKUP($K86,'CIRS Table Info'!$B$6:$J$425,2,FALSE)))</f>
        <v>15.67</v>
      </c>
      <c r="H86" s="412" t="str">
        <f>IF($K86&lt;192,"",IF($K86&gt;597,"",VLOOKUP($K86,'CIRS Table Info'!$B$6:$J$425,6,FALSE)))</f>
        <v>Centers</v>
      </c>
      <c r="I86" s="414" t="s">
        <v>311</v>
      </c>
      <c r="J86" s="344">
        <f t="shared" si="4"/>
        <v>0.35763888888888901</v>
      </c>
      <c r="K86" s="141">
        <f t="shared" si="5"/>
        <v>550</v>
      </c>
      <c r="L86" s="468">
        <f>VLOOKUP($B86,'CIRS Table IDs'!$B:$P,15,FALSE)</f>
        <v>2</v>
      </c>
      <c r="M86" s="415">
        <f>IF($K86&lt;192,"",IF($K86&gt;597,"",VLOOKUP($K86,'CIRS Table Info'!$B$6:$K$425,10,FALSE)))</f>
        <v>5</v>
      </c>
      <c r="N86" s="503"/>
      <c r="O86" s="83"/>
      <c r="P86" s="83">
        <f t="shared" si="8"/>
        <v>1</v>
      </c>
      <c r="Q86" s="70" t="str">
        <f t="shared" si="6"/>
        <v/>
      </c>
    </row>
    <row r="87" spans="1:17" ht="15" x14ac:dyDescent="0.2">
      <c r="A87" s="342">
        <f t="shared" si="9"/>
        <v>115</v>
      </c>
      <c r="B87" s="45" t="str">
        <f t="shared" si="9"/>
        <v>CIRS_256RA_COMPLITA2001_PRIME</v>
      </c>
      <c r="C87" s="343">
        <f t="shared" si="3"/>
        <v>2200</v>
      </c>
      <c r="D87" s="412" t="str">
        <f>IF($K87&lt;192,"",IF($K87&gt;597,"",IF(VLOOKUP($K87,'CIRS Table Info'!$B$6:$J$425,4,FALSE)="Data",VLOOKUP($K87,'CIRS Table Info'!$B$6:$J$425,3,FALSE),"")))</f>
        <v>No Co-add</v>
      </c>
      <c r="E87" s="413" t="str">
        <f>IF($K87&lt;192,"",IF($K87&gt;597,"",IF(VLOOKUP($K87,'CIRS Table Info'!$B$6:$J$425,5,FALSE)="Data",VLOOKUP($K87,'CIRS Table Info'!$B$6:$J$425,3,FALSE),"")))</f>
        <v>No Co-add</v>
      </c>
      <c r="F87" s="414" t="str">
        <f>IF($K87&lt;192,"",IF($K87&gt;597,"",IF(VLOOKUP($K87,'CIRS Table Info'!$B$6:$J$425,7,FALSE)="Data",VLOOKUP($K87,'CIRS Table Info'!$B$6:$J$425,3,FALSE),"")))</f>
        <v/>
      </c>
      <c r="G87" s="367">
        <f>IF($K87&lt;192,"",IF($K87&gt;597,"",VLOOKUP($K87,'CIRS Table Info'!$B$6:$J$425,2,FALSE)))</f>
        <v>2.85</v>
      </c>
      <c r="H87" s="412" t="str">
        <f>IF($K87&lt;192,"",IF($K87&gt;597,"",VLOOKUP($K87,'CIRS Table Info'!$B$6:$J$425,6,FALSE)))</f>
        <v>Centers</v>
      </c>
      <c r="I87" s="414" t="s">
        <v>311</v>
      </c>
      <c r="J87" s="344">
        <f t="shared" si="4"/>
        <v>0.25</v>
      </c>
      <c r="K87" s="141">
        <f t="shared" si="5"/>
        <v>228</v>
      </c>
      <c r="L87" s="468" t="str">
        <f>VLOOKUP($B87,'CIRS Table IDs'!$B:$P,15,FALSE)</f>
        <v>1,1,1,1,1</v>
      </c>
      <c r="M87" s="415" t="str">
        <f>IF($K87&lt;192,"",IF($K87&gt;597,"",VLOOKUP($K87,'CIRS Table Info'!$B$6:$K$425,10,FALSE)))</f>
        <v>N\A</v>
      </c>
      <c r="N87" s="503" t="s">
        <v>544</v>
      </c>
      <c r="O87" s="83"/>
      <c r="P87" s="83">
        <f t="shared" si="8"/>
        <v>1</v>
      </c>
      <c r="Q87" s="70" t="str">
        <f t="shared" si="6"/>
        <v/>
      </c>
    </row>
    <row r="88" spans="1:17" ht="15" x14ac:dyDescent="0.2">
      <c r="A88" s="342">
        <f t="shared" si="9"/>
        <v>116</v>
      </c>
      <c r="B88" s="45" t="str">
        <f t="shared" si="9"/>
        <v>CIRS_256RF_FMOVIE001_ISS</v>
      </c>
      <c r="C88" s="343">
        <f t="shared" si="3"/>
        <v>400</v>
      </c>
      <c r="D88" s="412" t="str">
        <f>IF($K88&lt;192,"",IF($K88&gt;597,"",IF(VLOOKUP($K88,'CIRS Table Info'!$B$6:$J$425,4,FALSE)="Data",VLOOKUP($K88,'CIRS Table Info'!$B$6:$J$425,3,FALSE),"")))</f>
        <v>No Co-add</v>
      </c>
      <c r="E88" s="413" t="str">
        <f>IF($K88&lt;192,"",IF($K88&gt;597,"",IF(VLOOKUP($K88,'CIRS Table Info'!$B$6:$J$425,5,FALSE)="Data",VLOOKUP($K88,'CIRS Table Info'!$B$6:$J$425,3,FALSE),"")))</f>
        <v/>
      </c>
      <c r="F88" s="414" t="str">
        <f>IF($K88&lt;192,"",IF($K88&gt;597,"",IF(VLOOKUP($K88,'CIRS Table Info'!$B$6:$J$425,7,FALSE)="Data",VLOOKUP($K88,'CIRS Table Info'!$B$6:$J$425,3,FALSE),"")))</f>
        <v/>
      </c>
      <c r="G88" s="367">
        <f>IF($K88&lt;192,"",IF($K88&gt;597,"",VLOOKUP($K88,'CIRS Table Info'!$B$6:$J$425,2,FALSE)))</f>
        <v>15.67</v>
      </c>
      <c r="H88" s="412" t="s">
        <v>311</v>
      </c>
      <c r="I88" s="414" t="s">
        <v>311</v>
      </c>
      <c r="J88" s="344">
        <f t="shared" si="4"/>
        <v>0.65625</v>
      </c>
      <c r="K88" s="141">
        <f t="shared" si="5"/>
        <v>192</v>
      </c>
      <c r="L88" s="468">
        <f>VLOOKUP($B88,'CIRS Table IDs'!$B:$P,15,FALSE)</f>
        <v>1</v>
      </c>
      <c r="M88" s="415" t="str">
        <f>IF($K88&lt;192,"",IF($K88&gt;597,"",VLOOKUP($K88,'CIRS Table Info'!$B$6:$K$425,10,FALSE)))</f>
        <v>N\A</v>
      </c>
      <c r="N88" s="503"/>
      <c r="O88" s="83"/>
      <c r="P88" s="83">
        <f t="shared" si="8"/>
        <v>1</v>
      </c>
      <c r="Q88" s="70" t="str">
        <f t="shared" si="6"/>
        <v/>
      </c>
    </row>
    <row r="89" spans="1:17" ht="15" x14ac:dyDescent="0.2">
      <c r="A89" s="342">
        <f t="shared" si="9"/>
        <v>119</v>
      </c>
      <c r="B89" s="45" t="str">
        <f t="shared" si="9"/>
        <v>CIRS_256RI_PROPRETRG001_ISS</v>
      </c>
      <c r="C89" s="343">
        <f t="shared" si="3"/>
        <v>400</v>
      </c>
      <c r="D89" s="412" t="str">
        <f>IF($K89&lt;192,"",IF($K89&gt;597,"",IF(VLOOKUP($K89,'CIRS Table Info'!$B$6:$J$425,4,FALSE)="Data",VLOOKUP($K89,'CIRS Table Info'!$B$6:$J$425,3,FALSE),"")))</f>
        <v>No Co-add</v>
      </c>
      <c r="E89" s="413" t="str">
        <f>IF($K89&lt;192,"",IF($K89&gt;597,"",IF(VLOOKUP($K89,'CIRS Table Info'!$B$6:$J$425,5,FALSE)="Data",VLOOKUP($K89,'CIRS Table Info'!$B$6:$J$425,3,FALSE),"")))</f>
        <v/>
      </c>
      <c r="F89" s="414" t="str">
        <f>IF($K89&lt;192,"",IF($K89&gt;597,"",IF(VLOOKUP($K89,'CIRS Table Info'!$B$6:$J$425,7,FALSE)="Data",VLOOKUP($K89,'CIRS Table Info'!$B$6:$J$425,3,FALSE),"")))</f>
        <v/>
      </c>
      <c r="G89" s="367">
        <f>IF($K89&lt;192,"",IF($K89&gt;597,"",VLOOKUP($K89,'CIRS Table Info'!$B$6:$J$425,2,FALSE)))</f>
        <v>15.67</v>
      </c>
      <c r="H89" s="412" t="s">
        <v>311</v>
      </c>
      <c r="I89" s="414" t="s">
        <v>311</v>
      </c>
      <c r="J89" s="344">
        <f t="shared" si="4"/>
        <v>3.3333333333333298E-2</v>
      </c>
      <c r="K89" s="141">
        <f t="shared" si="5"/>
        <v>192</v>
      </c>
      <c r="L89" s="468">
        <f>VLOOKUP($B89,'CIRS Table IDs'!$B:$P,15,FALSE)</f>
        <v>1</v>
      </c>
      <c r="M89" s="415" t="str">
        <f>IF($K89&lt;192,"",IF($K89&gt;597,"",VLOOKUP($K89,'CIRS Table Info'!$B$6:$K$425,10,FALSE)))</f>
        <v>N\A</v>
      </c>
      <c r="N89" s="503"/>
      <c r="O89" s="83"/>
      <c r="P89" s="83">
        <f t="shared" si="8"/>
        <v>1</v>
      </c>
      <c r="Q89" s="70" t="str">
        <f t="shared" si="6"/>
        <v/>
      </c>
    </row>
    <row r="90" spans="1:17" ht="15" x14ac:dyDescent="0.2">
      <c r="A90" s="342">
        <f t="shared" si="9"/>
        <v>120</v>
      </c>
      <c r="B90" s="45" t="str">
        <f t="shared" si="9"/>
        <v>CIRS_256RI_HRESCOLBC001_ISS</v>
      </c>
      <c r="C90" s="343">
        <f t="shared" si="3"/>
        <v>2200</v>
      </c>
      <c r="D90" s="412" t="str">
        <f>IF($K90&lt;192,"",IF($K90&gt;597,"",IF(VLOOKUP($K90,'CIRS Table Info'!$B$6:$J$425,4,FALSE)="Data",VLOOKUP($K90,'CIRS Table Info'!$B$6:$J$425,3,FALSE),"")))</f>
        <v>No Co-add</v>
      </c>
      <c r="E90" s="413" t="str">
        <f>IF($K90&lt;192,"",IF($K90&gt;597,"",IF(VLOOKUP($K90,'CIRS Table Info'!$B$6:$J$425,5,FALSE)="Data",VLOOKUP($K90,'CIRS Table Info'!$B$6:$J$425,3,FALSE),"")))</f>
        <v>No Co-add</v>
      </c>
      <c r="F90" s="414" t="str">
        <f>IF($K90&lt;192,"",IF($K90&gt;597,"",IF(VLOOKUP($K90,'CIRS Table Info'!$B$6:$J$425,7,FALSE)="Data",VLOOKUP($K90,'CIRS Table Info'!$B$6:$J$425,3,FALSE),"")))</f>
        <v/>
      </c>
      <c r="G90" s="367">
        <f>IF($K90&lt;192,"",IF($K90&gt;597,"",VLOOKUP($K90,'CIRS Table Info'!$B$6:$J$425,2,FALSE)))</f>
        <v>15.67</v>
      </c>
      <c r="H90" s="412" t="str">
        <f>IF($K90&lt;192,"",IF($K90&gt;597,"",VLOOKUP($K90,'CIRS Table Info'!$B$6:$J$425,6,FALSE)))</f>
        <v>Centers</v>
      </c>
      <c r="I90" s="414" t="s">
        <v>311</v>
      </c>
      <c r="J90" s="344">
        <f t="shared" si="4"/>
        <v>8.2638888888888901E-2</v>
      </c>
      <c r="K90" s="141">
        <f t="shared" si="5"/>
        <v>400</v>
      </c>
      <c r="L90" s="468">
        <f>VLOOKUP($B90,'CIRS Table IDs'!$B:$P,15,FALSE)</f>
        <v>1</v>
      </c>
      <c r="M90" s="415">
        <f>IF($K90&lt;192,"",IF($K90&gt;597,"",VLOOKUP($K90,'CIRS Table Info'!$B$6:$K$425,10,FALSE)))</f>
        <v>2</v>
      </c>
      <c r="N90" s="503"/>
      <c r="O90" s="83"/>
      <c r="P90" s="83">
        <f t="shared" si="8"/>
        <v>1</v>
      </c>
      <c r="Q90" s="70" t="str">
        <f t="shared" si="6"/>
        <v/>
      </c>
    </row>
    <row r="91" spans="1:17" ht="15" x14ac:dyDescent="0.2">
      <c r="A91" s="342">
        <f t="shared" si="9"/>
        <v>121</v>
      </c>
      <c r="B91" s="45" t="str">
        <f t="shared" si="9"/>
        <v>CIRS_256RI_URASPECA001_UVIS</v>
      </c>
      <c r="C91" s="343">
        <f t="shared" si="3"/>
        <v>2200</v>
      </c>
      <c r="D91" s="412" t="str">
        <f>IF($K91&lt;192,"",IF($K91&gt;597,"",IF(VLOOKUP($K91,'CIRS Table Info'!$B$6:$J$425,4,FALSE)="Data",VLOOKUP($K91,'CIRS Table Info'!$B$6:$J$425,3,FALSE),"")))</f>
        <v>No Co-add</v>
      </c>
      <c r="E91" s="413" t="str">
        <f>IF($K91&lt;192,"",IF($K91&gt;597,"",IF(VLOOKUP($K91,'CIRS Table Info'!$B$6:$J$425,5,FALSE)="Data",VLOOKUP($K91,'CIRS Table Info'!$B$6:$J$425,3,FALSE),"")))</f>
        <v>No Co-add</v>
      </c>
      <c r="F91" s="414" t="str">
        <f>IF($K91&lt;192,"",IF($K91&gt;597,"",IF(VLOOKUP($K91,'CIRS Table Info'!$B$6:$J$425,7,FALSE)="Data",VLOOKUP($K91,'CIRS Table Info'!$B$6:$J$425,3,FALSE),"")))</f>
        <v/>
      </c>
      <c r="G91" s="367">
        <f>IF($K91&lt;192,"",IF($K91&gt;597,"",VLOOKUP($K91,'CIRS Table Info'!$B$6:$J$425,2,FALSE)))</f>
        <v>15.67</v>
      </c>
      <c r="H91" s="412" t="str">
        <f>IF($K91&lt;192,"",IF($K91&gt;597,"",VLOOKUP($K91,'CIRS Table Info'!$B$6:$J$425,6,FALSE)))</f>
        <v>Centers</v>
      </c>
      <c r="I91" s="414" t="s">
        <v>311</v>
      </c>
      <c r="J91" s="344">
        <f t="shared" si="4"/>
        <v>0.104166666666667</v>
      </c>
      <c r="K91" s="141">
        <f t="shared" si="5"/>
        <v>450</v>
      </c>
      <c r="L91" s="468">
        <f>VLOOKUP($B91,'CIRS Table IDs'!$B:$P,15,FALSE)</f>
        <v>1</v>
      </c>
      <c r="M91" s="415">
        <f>IF($K91&lt;192,"",IF($K91&gt;597,"",VLOOKUP($K91,'CIRS Table Info'!$B$6:$K$425,10,FALSE)))</f>
        <v>3</v>
      </c>
      <c r="N91" s="503"/>
      <c r="O91" s="83"/>
      <c r="P91" s="83">
        <f t="shared" si="8"/>
        <v>1</v>
      </c>
      <c r="Q91" s="70" t="str">
        <f t="shared" si="6"/>
        <v/>
      </c>
    </row>
    <row r="92" spans="1:17" ht="15" x14ac:dyDescent="0.2">
      <c r="A92" s="342">
        <f t="shared" si="9"/>
        <v>122</v>
      </c>
      <c r="B92" s="45" t="str">
        <f t="shared" si="9"/>
        <v>CIRS_256RI_HRRADSCNL001_ISS</v>
      </c>
      <c r="C92" s="343">
        <f t="shared" si="3"/>
        <v>2200</v>
      </c>
      <c r="D92" s="412" t="str">
        <f>IF($K92&lt;192,"",IF($K92&gt;597,"",IF(VLOOKUP($K92,'CIRS Table Info'!$B$6:$J$425,4,FALSE)="Data",VLOOKUP($K92,'CIRS Table Info'!$B$6:$J$425,3,FALSE),"")))</f>
        <v>No Co-add</v>
      </c>
      <c r="E92" s="413" t="str">
        <f>IF($K92&lt;192,"",IF($K92&gt;597,"",IF(VLOOKUP($K92,'CIRS Table Info'!$B$6:$J$425,5,FALSE)="Data",VLOOKUP($K92,'CIRS Table Info'!$B$6:$J$425,3,FALSE),"")))</f>
        <v>No Co-add</v>
      </c>
      <c r="F92" s="414" t="str">
        <f>IF($K92&lt;192,"",IF($K92&gt;597,"",IF(VLOOKUP($K92,'CIRS Table Info'!$B$6:$J$425,7,FALSE)="Data",VLOOKUP($K92,'CIRS Table Info'!$B$6:$J$425,3,FALSE),"")))</f>
        <v/>
      </c>
      <c r="G92" s="367">
        <f>IF($K92&lt;192,"",IF($K92&gt;597,"",VLOOKUP($K92,'CIRS Table Info'!$B$6:$J$425,2,FALSE)))</f>
        <v>15.67</v>
      </c>
      <c r="H92" s="412" t="str">
        <f>IF($K92&lt;192,"",IF($K92&gt;597,"",VLOOKUP($K92,'CIRS Table Info'!$B$6:$J$425,6,FALSE)))</f>
        <v>Centers</v>
      </c>
      <c r="I92" s="414" t="s">
        <v>311</v>
      </c>
      <c r="J92" s="344">
        <f t="shared" si="4"/>
        <v>9.7222222222222196E-2</v>
      </c>
      <c r="K92" s="141">
        <f t="shared" si="5"/>
        <v>450</v>
      </c>
      <c r="L92" s="468">
        <f>VLOOKUP($B92,'CIRS Table IDs'!$B:$P,15,FALSE)</f>
        <v>1</v>
      </c>
      <c r="M92" s="415">
        <f>IF($K92&lt;192,"",IF($K92&gt;597,"",VLOOKUP($K92,'CIRS Table Info'!$B$6:$K$425,10,FALSE)))</f>
        <v>3</v>
      </c>
      <c r="N92" s="503"/>
      <c r="O92" s="83"/>
      <c r="P92" s="83">
        <f t="shared" si="8"/>
        <v>1</v>
      </c>
      <c r="Q92" s="70" t="str">
        <f t="shared" si="6"/>
        <v/>
      </c>
    </row>
    <row r="93" spans="1:17" ht="15" customHeight="1" x14ac:dyDescent="0.2">
      <c r="A93" s="342">
        <f t="shared" si="9"/>
        <v>124</v>
      </c>
      <c r="B93" s="45" t="str">
        <f t="shared" si="9"/>
        <v>CIRS_256RA_HALODARK001_PRIME</v>
      </c>
      <c r="C93" s="343">
        <f t="shared" si="3"/>
        <v>2200</v>
      </c>
      <c r="D93" s="412" t="str">
        <f>IF($K93&lt;192,"",IF($K93&gt;597,"",IF(VLOOKUP($K93,'CIRS Table Info'!$B$6:$J$425,4,FALSE)="Data",VLOOKUP($K93,'CIRS Table Info'!$B$6:$J$425,3,FALSE),"")))</f>
        <v>No Co-add</v>
      </c>
      <c r="E93" s="413" t="str">
        <f>IF($K93&lt;192,"",IF($K93&gt;597,"",IF(VLOOKUP($K93,'CIRS Table Info'!$B$6:$J$425,5,FALSE)="Data",VLOOKUP($K93,'CIRS Table Info'!$B$6:$J$425,3,FALSE),"")))</f>
        <v>No Co-add</v>
      </c>
      <c r="F93" s="414" t="str">
        <f>IF($K93&lt;192,"",IF($K93&gt;597,"",IF(VLOOKUP($K93,'CIRS Table Info'!$B$6:$J$425,7,FALSE)="Data",VLOOKUP($K93,'CIRS Table Info'!$B$6:$J$425,3,FALSE),"")))</f>
        <v/>
      </c>
      <c r="G93" s="367">
        <f>IF($K93&lt;192,"",IF($K93&gt;597,"",VLOOKUP($K93,'CIRS Table Info'!$B$6:$J$425,2,FALSE)))</f>
        <v>15.67</v>
      </c>
      <c r="H93" s="412" t="str">
        <f>IF($K93&lt;192,"",IF($K93&gt;597,"",VLOOKUP($K93,'CIRS Table Info'!$B$6:$J$425,6,FALSE)))</f>
        <v>Centers</v>
      </c>
      <c r="I93" s="414" t="s">
        <v>311</v>
      </c>
      <c r="J93" s="344">
        <f t="shared" si="4"/>
        <v>0.25</v>
      </c>
      <c r="K93" s="141">
        <f t="shared" si="5"/>
        <v>203</v>
      </c>
      <c r="L93" s="468" t="str">
        <f>VLOOKUP($B93,'CIRS Table IDs'!$B:$P,15,FALSE)</f>
        <v>1,1,1,1,1</v>
      </c>
      <c r="M93" s="415" t="str">
        <f>IF($K93&lt;192,"",IF($K93&gt;597,"",VLOOKUP($K93,'CIRS Table Info'!$B$6:$K$425,10,FALSE)))</f>
        <v>N\A</v>
      </c>
      <c r="N93" s="503" t="s">
        <v>556</v>
      </c>
      <c r="O93" s="83"/>
      <c r="P93" s="83">
        <f t="shared" si="8"/>
        <v>1</v>
      </c>
      <c r="Q93" s="70" t="str">
        <f t="shared" si="6"/>
        <v/>
      </c>
    </row>
    <row r="94" spans="1:17" ht="15" x14ac:dyDescent="0.2">
      <c r="A94" s="342">
        <f t="shared" si="9"/>
        <v>125</v>
      </c>
      <c r="B94" s="45" t="str">
        <f t="shared" si="9"/>
        <v>CIRS_256RI_HIRESAFRG002_ISS</v>
      </c>
      <c r="C94" s="343">
        <f t="shared" si="3"/>
        <v>400</v>
      </c>
      <c r="D94" s="412" t="str">
        <f>IF($K94&lt;192,"",IF($K94&gt;597,"",IF(VLOOKUP($K94,'CIRS Table Info'!$B$6:$J$425,4,FALSE)="Data",VLOOKUP($K94,'CIRS Table Info'!$B$6:$J$425,3,FALSE),"")))</f>
        <v>No Co-add</v>
      </c>
      <c r="E94" s="413" t="str">
        <f>IF($K94&lt;192,"",IF($K94&gt;597,"",IF(VLOOKUP($K94,'CIRS Table Info'!$B$6:$J$425,5,FALSE)="Data",VLOOKUP($K94,'CIRS Table Info'!$B$6:$J$425,3,FALSE),"")))</f>
        <v/>
      </c>
      <c r="F94" s="414" t="str">
        <f>IF($K94&lt;192,"",IF($K94&gt;597,"",IF(VLOOKUP($K94,'CIRS Table Info'!$B$6:$J$425,7,FALSE)="Data",VLOOKUP($K94,'CIRS Table Info'!$B$6:$J$425,3,FALSE),"")))</f>
        <v/>
      </c>
      <c r="G94" s="367">
        <f>IF($K94&lt;192,"",IF($K94&gt;597,"",VLOOKUP($K94,'CIRS Table Info'!$B$6:$J$425,2,FALSE)))</f>
        <v>15.67</v>
      </c>
      <c r="H94" s="412" t="s">
        <v>311</v>
      </c>
      <c r="I94" s="414" t="s">
        <v>311</v>
      </c>
      <c r="J94" s="344">
        <f t="shared" si="4"/>
        <v>0.15</v>
      </c>
      <c r="K94" s="141">
        <f t="shared" si="5"/>
        <v>192</v>
      </c>
      <c r="L94" s="468">
        <f>VLOOKUP($B94,'CIRS Table IDs'!$B:$P,15,FALSE)</f>
        <v>1</v>
      </c>
      <c r="M94" s="415" t="str">
        <f>IF($K94&lt;192,"",IF($K94&gt;597,"",VLOOKUP($K94,'CIRS Table Info'!$B$6:$K$425,10,FALSE)))</f>
        <v>N\A</v>
      </c>
      <c r="N94" s="503"/>
      <c r="O94" s="83"/>
      <c r="P94" s="83">
        <f t="shared" si="8"/>
        <v>1</v>
      </c>
      <c r="Q94" s="70" t="str">
        <f t="shared" si="6"/>
        <v/>
      </c>
    </row>
    <row r="95" spans="1:17" ht="15" x14ac:dyDescent="0.2">
      <c r="A95" s="342">
        <f t="shared" si="9"/>
        <v>126</v>
      </c>
      <c r="B95" s="45" t="str">
        <f t="shared" si="9"/>
        <v>CIRS_256RI_ARCORBIT001_ISS</v>
      </c>
      <c r="C95" s="343">
        <f t="shared" si="3"/>
        <v>400</v>
      </c>
      <c r="D95" s="412" t="str">
        <f>IF($K95&lt;192,"",IF($K95&gt;597,"",IF(VLOOKUP($K95,'CIRS Table Info'!$B$6:$J$425,4,FALSE)="Data",VLOOKUP($K95,'CIRS Table Info'!$B$6:$J$425,3,FALSE),"")))</f>
        <v>No Co-add</v>
      </c>
      <c r="E95" s="413" t="str">
        <f>IF($K95&lt;192,"",IF($K95&gt;597,"",IF(VLOOKUP($K95,'CIRS Table Info'!$B$6:$J$425,5,FALSE)="Data",VLOOKUP($K95,'CIRS Table Info'!$B$6:$J$425,3,FALSE),"")))</f>
        <v/>
      </c>
      <c r="F95" s="414" t="str">
        <f>IF($K95&lt;192,"",IF($K95&gt;597,"",IF(VLOOKUP($K95,'CIRS Table Info'!$B$6:$J$425,7,FALSE)="Data",VLOOKUP($K95,'CIRS Table Info'!$B$6:$J$425,3,FALSE),"")))</f>
        <v/>
      </c>
      <c r="G95" s="367">
        <f>IF($K95&lt;192,"",IF($K95&gt;597,"",VLOOKUP($K95,'CIRS Table Info'!$B$6:$J$425,2,FALSE)))</f>
        <v>15.67</v>
      </c>
      <c r="H95" s="412" t="s">
        <v>311</v>
      </c>
      <c r="I95" s="414" t="s">
        <v>311</v>
      </c>
      <c r="J95" s="344">
        <f t="shared" si="4"/>
        <v>2.7777777777777801E-2</v>
      </c>
      <c r="K95" s="141">
        <f t="shared" si="5"/>
        <v>192</v>
      </c>
      <c r="L95" s="468">
        <f>VLOOKUP($B95,'CIRS Table IDs'!$B:$P,15,FALSE)</f>
        <v>1</v>
      </c>
      <c r="M95" s="415" t="str">
        <f>IF($K95&lt;192,"",IF($K95&gt;597,"",VLOOKUP($K95,'CIRS Table Info'!$B$6:$K$425,10,FALSE)))</f>
        <v>N\A</v>
      </c>
      <c r="N95" s="503"/>
      <c r="O95" s="83"/>
      <c r="P95" s="83">
        <f t="shared" si="8"/>
        <v>1</v>
      </c>
      <c r="Q95" s="70" t="str">
        <f t="shared" si="6"/>
        <v/>
      </c>
    </row>
    <row r="96" spans="1:17" ht="15" x14ac:dyDescent="0.2">
      <c r="A96" s="342">
        <f t="shared" si="9"/>
        <v>128</v>
      </c>
      <c r="B96" s="45" t="str">
        <f t="shared" si="9"/>
        <v>CIRS_256RI_ALPORIOCC001_VIMS</v>
      </c>
      <c r="C96" s="343">
        <f t="shared" si="3"/>
        <v>400</v>
      </c>
      <c r="D96" s="412" t="str">
        <f>IF($K96&lt;192,"",IF($K96&gt;597,"",IF(VLOOKUP($K96,'CIRS Table Info'!$B$6:$J$425,4,FALSE)="Data",VLOOKUP($K96,'CIRS Table Info'!$B$6:$J$425,3,FALSE),"")))</f>
        <v>No Co-add</v>
      </c>
      <c r="E96" s="413" t="str">
        <f>IF($K96&lt;192,"",IF($K96&gt;597,"",IF(VLOOKUP($K96,'CIRS Table Info'!$B$6:$J$425,5,FALSE)="Data",VLOOKUP($K96,'CIRS Table Info'!$B$6:$J$425,3,FALSE),"")))</f>
        <v/>
      </c>
      <c r="F96" s="414" t="str">
        <f>IF($K96&lt;192,"",IF($K96&gt;597,"",IF(VLOOKUP($K96,'CIRS Table Info'!$B$6:$J$425,7,FALSE)="Data",VLOOKUP($K96,'CIRS Table Info'!$B$6:$J$425,3,FALSE),"")))</f>
        <v/>
      </c>
      <c r="G96" s="367">
        <f>IF($K96&lt;192,"",IF($K96&gt;597,"",VLOOKUP($K96,'CIRS Table Info'!$B$6:$J$425,2,FALSE)))</f>
        <v>15.67</v>
      </c>
      <c r="H96" s="412" t="s">
        <v>311</v>
      </c>
      <c r="I96" s="414" t="s">
        <v>311</v>
      </c>
      <c r="J96" s="344">
        <f t="shared" si="4"/>
        <v>0.19166666666666701</v>
      </c>
      <c r="K96" s="141">
        <f t="shared" si="5"/>
        <v>192</v>
      </c>
      <c r="L96" s="468">
        <f>VLOOKUP($B96,'CIRS Table IDs'!$B:$P,15,FALSE)</f>
        <v>1</v>
      </c>
      <c r="M96" s="415" t="str">
        <f>IF($K96&lt;192,"",IF($K96&gt;597,"",VLOOKUP($K96,'CIRS Table Info'!$B$6:$K$425,10,FALSE)))</f>
        <v>N\A</v>
      </c>
      <c r="N96" s="503"/>
      <c r="O96" s="83"/>
      <c r="P96" s="83">
        <f t="shared" ref="P96:P97" si="10">IF(K96&lt;=597,1,0)</f>
        <v>1</v>
      </c>
      <c r="Q96" s="70" t="str">
        <f t="shared" ref="Q96:Q97" si="11">IF($R47&lt;200,"",IF($R47&gt;=300,"",IF(MOD(MOD($R47,25)-3,6)&lt;3,"Yes","")))</f>
        <v/>
      </c>
    </row>
    <row r="97" spans="1:18" ht="15" x14ac:dyDescent="0.2">
      <c r="A97" s="342">
        <f t="shared" si="9"/>
        <v>130</v>
      </c>
      <c r="B97" s="45" t="str">
        <f t="shared" si="9"/>
        <v>CIRS_256RI_HPMONITOR001_ISS</v>
      </c>
      <c r="C97" s="343">
        <f t="shared" si="3"/>
        <v>400</v>
      </c>
      <c r="D97" s="412" t="str">
        <f>IF($K97&lt;192,"",IF($K97&gt;597,"",IF(VLOOKUP($K97,'CIRS Table Info'!$B$6:$J$425,4,FALSE)="Data",VLOOKUP($K97,'CIRS Table Info'!$B$6:$J$425,3,FALSE),"")))</f>
        <v>No Co-add</v>
      </c>
      <c r="E97" s="413" t="str">
        <f>IF($K97&lt;192,"",IF($K97&gt;597,"",IF(VLOOKUP($K97,'CIRS Table Info'!$B$6:$J$425,5,FALSE)="Data",VLOOKUP($K97,'CIRS Table Info'!$B$6:$J$425,3,FALSE),"")))</f>
        <v/>
      </c>
      <c r="F97" s="414" t="str">
        <f>IF($K97&lt;192,"",IF($K97&gt;597,"",IF(VLOOKUP($K97,'CIRS Table Info'!$B$6:$J$425,7,FALSE)="Data",VLOOKUP($K97,'CIRS Table Info'!$B$6:$J$425,3,FALSE),"")))</f>
        <v/>
      </c>
      <c r="G97" s="367">
        <f>IF($K97&lt;192,"",IF($K97&gt;597,"",VLOOKUP($K97,'CIRS Table Info'!$B$6:$J$425,2,FALSE)))</f>
        <v>15.67</v>
      </c>
      <c r="H97" s="412" t="s">
        <v>311</v>
      </c>
      <c r="I97" s="414" t="s">
        <v>311</v>
      </c>
      <c r="J97" s="344">
        <f t="shared" si="4"/>
        <v>0.33194444444444399</v>
      </c>
      <c r="K97" s="141">
        <f t="shared" si="5"/>
        <v>192</v>
      </c>
      <c r="L97" s="468">
        <f>VLOOKUP($B97,'CIRS Table IDs'!$B:$P,15,FALSE)</f>
        <v>1</v>
      </c>
      <c r="M97" s="415" t="str">
        <f>IF($K97&lt;192,"",IF($K97&gt;597,"",VLOOKUP($K97,'CIRS Table Info'!$B$6:$K$425,10,FALSE)))</f>
        <v>N\A</v>
      </c>
      <c r="N97" s="503"/>
      <c r="O97" s="83"/>
      <c r="P97" s="83">
        <f t="shared" si="10"/>
        <v>1</v>
      </c>
      <c r="Q97" s="70" t="str">
        <f t="shared" si="11"/>
        <v/>
      </c>
    </row>
    <row r="98" spans="1:18" ht="15.75" thickBot="1" x14ac:dyDescent="0.25">
      <c r="A98" s="70"/>
      <c r="B98" s="345"/>
      <c r="C98" s="225"/>
      <c r="D98" s="226"/>
      <c r="E98" s="419"/>
      <c r="F98" s="227"/>
      <c r="G98" s="421"/>
      <c r="H98" s="431"/>
      <c r="I98" s="227"/>
      <c r="J98" s="346"/>
      <c r="K98" s="425"/>
      <c r="L98" s="469"/>
      <c r="M98" s="173"/>
      <c r="N98" s="505"/>
      <c r="O98" s="83"/>
      <c r="P98" s="83"/>
      <c r="Q98" s="83"/>
      <c r="R98" s="70"/>
    </row>
    <row r="99" spans="1:18" ht="15" x14ac:dyDescent="0.2">
      <c r="A99" s="70"/>
      <c r="B99" s="70"/>
      <c r="C99" s="70"/>
      <c r="D99" s="228"/>
      <c r="E99" s="128"/>
      <c r="F99" s="128"/>
      <c r="G99" s="230"/>
      <c r="H99" s="230"/>
      <c r="I99" s="128"/>
      <c r="J99" s="128"/>
      <c r="K99" s="123"/>
      <c r="L99" s="128"/>
      <c r="M99" s="70"/>
      <c r="N99" s="70"/>
      <c r="O99" s="83"/>
      <c r="P99" s="83"/>
      <c r="Q99" s="83"/>
      <c r="R99" s="70"/>
    </row>
    <row r="100" spans="1:18" ht="15" x14ac:dyDescent="0.2">
      <c r="A100" s="70">
        <f>COUNTA(A57:A98)</f>
        <v>40</v>
      </c>
      <c r="B100" s="70">
        <f>A100-O100</f>
        <v>40</v>
      </c>
      <c r="C100" s="70"/>
      <c r="D100" s="228"/>
      <c r="E100" s="128"/>
      <c r="F100" s="128"/>
      <c r="G100" s="230"/>
      <c r="H100" s="230"/>
      <c r="I100" s="128"/>
      <c r="J100" s="128"/>
      <c r="K100" s="123"/>
      <c r="L100" s="128"/>
      <c r="M100" s="70"/>
      <c r="N100" s="70"/>
      <c r="O100" s="83">
        <f>SUM(O57:O98)</f>
        <v>0</v>
      </c>
      <c r="P100" s="83">
        <f>SUM(P57:P98)</f>
        <v>40</v>
      </c>
      <c r="Q100" s="83"/>
      <c r="R100" s="70"/>
    </row>
    <row r="101" spans="1:18" ht="15.75" thickBot="1" x14ac:dyDescent="0.25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</row>
    <row r="102" spans="1:18" ht="21.6" customHeight="1" x14ac:dyDescent="0.2">
      <c r="A102" s="70"/>
      <c r="B102" s="587" t="s">
        <v>17</v>
      </c>
      <c r="C102" s="636" t="s">
        <v>18</v>
      </c>
      <c r="D102" s="637"/>
      <c r="E102" s="637"/>
      <c r="F102" s="638"/>
      <c r="G102" s="442" t="s">
        <v>19</v>
      </c>
      <c r="H102" s="623" t="s">
        <v>20</v>
      </c>
      <c r="I102" s="634"/>
      <c r="J102" s="634"/>
      <c r="K102" s="622"/>
      <c r="L102" s="589" t="s">
        <v>22</v>
      </c>
      <c r="M102" s="70"/>
      <c r="N102" s="70"/>
      <c r="O102" s="70"/>
      <c r="P102" s="70"/>
      <c r="Q102" s="70"/>
      <c r="R102" s="70"/>
    </row>
    <row r="103" spans="1:18" ht="21.6" customHeight="1" thickBot="1" x14ac:dyDescent="0.25">
      <c r="A103" s="70"/>
      <c r="B103" s="606"/>
      <c r="C103" s="190" t="s">
        <v>25</v>
      </c>
      <c r="D103" s="88" t="s">
        <v>26</v>
      </c>
      <c r="E103" s="88" t="s">
        <v>27</v>
      </c>
      <c r="F103" s="89" t="s">
        <v>28</v>
      </c>
      <c r="G103" s="446" t="s">
        <v>28</v>
      </c>
      <c r="H103" s="190" t="s">
        <v>25</v>
      </c>
      <c r="I103" s="87" t="s">
        <v>26</v>
      </c>
      <c r="J103" s="88" t="s">
        <v>27</v>
      </c>
      <c r="K103" s="89" t="s">
        <v>28</v>
      </c>
      <c r="L103" s="635"/>
      <c r="M103" s="70"/>
      <c r="N103" s="70"/>
      <c r="O103" s="70"/>
      <c r="P103" s="70"/>
      <c r="Q103" s="70"/>
      <c r="R103" s="70"/>
    </row>
    <row r="104" spans="1:18" ht="15" x14ac:dyDescent="0.2">
      <c r="A104" s="70"/>
      <c r="B104" s="45"/>
      <c r="C104" s="297"/>
      <c r="D104" s="40"/>
      <c r="E104" s="40"/>
      <c r="F104" s="37"/>
      <c r="G104" s="178"/>
      <c r="H104" s="297"/>
      <c r="I104" s="40"/>
      <c r="J104" s="40"/>
      <c r="K104" s="37"/>
      <c r="L104" s="42"/>
      <c r="M104" s="70"/>
      <c r="N104" s="70"/>
      <c r="O104" s="70"/>
      <c r="P104" s="70"/>
      <c r="Q104" s="70"/>
      <c r="R104" s="70"/>
    </row>
    <row r="105" spans="1:18" ht="15" x14ac:dyDescent="0.2">
      <c r="A105" s="70"/>
      <c r="B105" s="45" t="s">
        <v>377</v>
      </c>
      <c r="C105" s="297">
        <f t="shared" ref="C105:C119" si="12">DATE(D105,1,E105)</f>
        <v>42700</v>
      </c>
      <c r="D105" s="40">
        <v>2016</v>
      </c>
      <c r="E105" s="40">
        <v>331</v>
      </c>
      <c r="F105" s="37">
        <v>0.36319444444444399</v>
      </c>
      <c r="G105" s="178">
        <v>0.46875</v>
      </c>
      <c r="H105" s="297">
        <f t="shared" ref="H105:H119" si="13">DATE(I105,1,J105)</f>
        <v>42700</v>
      </c>
      <c r="I105" s="40">
        <v>2016</v>
      </c>
      <c r="J105" s="40">
        <v>331</v>
      </c>
      <c r="K105" s="37">
        <v>0.83194444444444404</v>
      </c>
      <c r="L105" s="42">
        <v>28</v>
      </c>
      <c r="M105" s="347"/>
      <c r="N105" s="70"/>
      <c r="O105" s="70"/>
      <c r="P105" s="70"/>
      <c r="Q105" s="70"/>
      <c r="R105" s="70"/>
    </row>
    <row r="106" spans="1:18" ht="15" x14ac:dyDescent="0.2">
      <c r="A106" s="70"/>
      <c r="B106" s="45" t="s">
        <v>429</v>
      </c>
      <c r="C106" s="297">
        <f t="shared" si="12"/>
        <v>42709</v>
      </c>
      <c r="D106" s="40">
        <v>2016</v>
      </c>
      <c r="E106" s="40">
        <v>340</v>
      </c>
      <c r="F106" s="37">
        <v>0.58888888888888902</v>
      </c>
      <c r="G106" s="178">
        <v>0.165277777777778</v>
      </c>
      <c r="H106" s="297">
        <f t="shared" si="13"/>
        <v>42709</v>
      </c>
      <c r="I106" s="40">
        <v>2016</v>
      </c>
      <c r="J106" s="40">
        <v>340</v>
      </c>
      <c r="K106" s="37">
        <v>0.75416666666666698</v>
      </c>
      <c r="L106" s="42">
        <v>10.5</v>
      </c>
      <c r="M106" s="347"/>
      <c r="N106" s="70"/>
      <c r="O106" s="70"/>
      <c r="P106" s="70"/>
      <c r="Q106" s="70"/>
      <c r="R106" s="70"/>
    </row>
    <row r="107" spans="1:18" ht="15" x14ac:dyDescent="0.2">
      <c r="A107" s="70"/>
      <c r="B107" s="45" t="s">
        <v>459</v>
      </c>
      <c r="C107" s="297">
        <f t="shared" si="12"/>
        <v>42722</v>
      </c>
      <c r="D107" s="40">
        <v>2016</v>
      </c>
      <c r="E107" s="40">
        <v>353</v>
      </c>
      <c r="F107" s="37">
        <v>0.25902777777777802</v>
      </c>
      <c r="G107" s="178">
        <v>0.18958333333333299</v>
      </c>
      <c r="H107" s="297">
        <f t="shared" si="13"/>
        <v>42722</v>
      </c>
      <c r="I107" s="40">
        <v>2016</v>
      </c>
      <c r="J107" s="40">
        <v>353</v>
      </c>
      <c r="K107" s="37">
        <v>0.44861111111111102</v>
      </c>
      <c r="L107" s="42">
        <v>14</v>
      </c>
      <c r="M107" s="347"/>
      <c r="N107" s="70"/>
      <c r="O107" s="70"/>
      <c r="P107" s="70"/>
      <c r="Q107" s="70"/>
      <c r="R107" s="70"/>
    </row>
    <row r="108" spans="1:18" ht="15" x14ac:dyDescent="0.2">
      <c r="A108" s="70"/>
      <c r="B108" s="45" t="s">
        <v>463</v>
      </c>
      <c r="C108" s="297">
        <f t="shared" si="12"/>
        <v>42722</v>
      </c>
      <c r="D108" s="40">
        <v>2016</v>
      </c>
      <c r="E108" s="40">
        <v>353</v>
      </c>
      <c r="F108" s="37">
        <v>0.60624999999999996</v>
      </c>
      <c r="G108" s="178">
        <v>0.16180555555555601</v>
      </c>
      <c r="H108" s="297">
        <f t="shared" si="13"/>
        <v>42722</v>
      </c>
      <c r="I108" s="40">
        <v>2016</v>
      </c>
      <c r="J108" s="40">
        <v>353</v>
      </c>
      <c r="K108" s="37">
        <v>0.76805555555555605</v>
      </c>
      <c r="L108" s="42">
        <v>14</v>
      </c>
      <c r="M108" s="347"/>
      <c r="N108" s="70"/>
      <c r="O108" s="70"/>
      <c r="P108" s="70"/>
      <c r="Q108" s="70"/>
      <c r="R108" s="70"/>
    </row>
    <row r="109" spans="1:18" ht="15" x14ac:dyDescent="0.2">
      <c r="A109" s="70"/>
      <c r="B109" s="45" t="s">
        <v>468</v>
      </c>
      <c r="C109" s="297">
        <f t="shared" si="12"/>
        <v>42722</v>
      </c>
      <c r="D109" s="40">
        <v>2016</v>
      </c>
      <c r="E109" s="40">
        <v>353</v>
      </c>
      <c r="F109" s="37">
        <v>0.97291666666666698</v>
      </c>
      <c r="G109" s="178">
        <v>0.165277777777778</v>
      </c>
      <c r="H109" s="297">
        <f t="shared" si="13"/>
        <v>42723</v>
      </c>
      <c r="I109" s="40">
        <v>2016</v>
      </c>
      <c r="J109" s="40">
        <v>354</v>
      </c>
      <c r="K109" s="37">
        <v>0.13819444444444401</v>
      </c>
      <c r="L109" s="42">
        <v>14</v>
      </c>
      <c r="M109" s="347"/>
      <c r="N109" s="70"/>
      <c r="O109" s="70"/>
      <c r="P109" s="70"/>
      <c r="Q109" s="70"/>
      <c r="R109" s="70"/>
    </row>
    <row r="110" spans="1:18" ht="15" x14ac:dyDescent="0.2">
      <c r="A110" s="70"/>
      <c r="B110" s="45" t="s">
        <v>474</v>
      </c>
      <c r="C110" s="297">
        <f t="shared" si="12"/>
        <v>42723</v>
      </c>
      <c r="D110" s="40">
        <v>2016</v>
      </c>
      <c r="E110" s="40">
        <v>354</v>
      </c>
      <c r="F110" s="37">
        <v>0.18124999999999999</v>
      </c>
      <c r="G110" s="178">
        <v>0.165277777777778</v>
      </c>
      <c r="H110" s="297">
        <f t="shared" si="13"/>
        <v>42723</v>
      </c>
      <c r="I110" s="40">
        <v>2016</v>
      </c>
      <c r="J110" s="40">
        <v>354</v>
      </c>
      <c r="K110" s="37">
        <v>0.34652777777777799</v>
      </c>
      <c r="L110" s="42">
        <v>10.5</v>
      </c>
      <c r="M110" s="347"/>
      <c r="N110" s="70"/>
      <c r="O110" s="70"/>
      <c r="P110" s="70"/>
      <c r="Q110" s="70"/>
      <c r="R110" s="70"/>
    </row>
    <row r="111" spans="1:18" ht="15" x14ac:dyDescent="0.2">
      <c r="A111" s="70"/>
      <c r="B111" s="45" t="s">
        <v>481</v>
      </c>
      <c r="C111" s="297">
        <f t="shared" si="12"/>
        <v>42724</v>
      </c>
      <c r="D111" s="40">
        <v>2016</v>
      </c>
      <c r="E111" s="40">
        <v>355</v>
      </c>
      <c r="F111" s="37">
        <v>0.52430555555555602</v>
      </c>
      <c r="G111" s="178">
        <v>0.20694444444444399</v>
      </c>
      <c r="H111" s="297">
        <f t="shared" si="13"/>
        <v>42724</v>
      </c>
      <c r="I111" s="40">
        <v>2016</v>
      </c>
      <c r="J111" s="40">
        <v>355</v>
      </c>
      <c r="K111" s="37">
        <v>0.73124999999999996</v>
      </c>
      <c r="L111" s="42">
        <v>14</v>
      </c>
      <c r="M111" s="347"/>
      <c r="N111" s="70"/>
      <c r="O111" s="70"/>
      <c r="P111" s="70"/>
      <c r="Q111" s="70"/>
      <c r="R111" s="70"/>
    </row>
    <row r="112" spans="1:18" ht="15" x14ac:dyDescent="0.2">
      <c r="A112" s="70"/>
      <c r="B112" s="45" t="s">
        <v>489</v>
      </c>
      <c r="C112" s="297">
        <f t="shared" si="12"/>
        <v>42727</v>
      </c>
      <c r="D112" s="40">
        <v>2016</v>
      </c>
      <c r="E112" s="40">
        <v>358</v>
      </c>
      <c r="F112" s="37">
        <v>0.17569444444444399</v>
      </c>
      <c r="G112" s="178">
        <v>0.25</v>
      </c>
      <c r="H112" s="297">
        <f t="shared" si="13"/>
        <v>42727</v>
      </c>
      <c r="I112" s="40">
        <v>2016</v>
      </c>
      <c r="J112" s="40">
        <v>358</v>
      </c>
      <c r="K112" s="37">
        <v>0.42569444444444399</v>
      </c>
      <c r="L112" s="42">
        <v>14</v>
      </c>
      <c r="M112" s="347"/>
      <c r="N112" s="70"/>
      <c r="O112" s="70"/>
      <c r="P112" s="70"/>
      <c r="Q112" s="70"/>
      <c r="R112" s="70"/>
    </row>
    <row r="113" spans="1:18" ht="15" x14ac:dyDescent="0.2">
      <c r="A113" s="70"/>
      <c r="B113" s="45" t="s">
        <v>518</v>
      </c>
      <c r="C113" s="297">
        <f t="shared" si="12"/>
        <v>42736</v>
      </c>
      <c r="D113" s="40">
        <v>2017</v>
      </c>
      <c r="E113" s="40">
        <v>1</v>
      </c>
      <c r="F113" s="37">
        <v>0.89930555555555503</v>
      </c>
      <c r="G113" s="178">
        <v>0.15972222222222199</v>
      </c>
      <c r="H113" s="297">
        <f t="shared" si="13"/>
        <v>42737</v>
      </c>
      <c r="I113" s="40">
        <v>2017</v>
      </c>
      <c r="J113" s="40">
        <v>2</v>
      </c>
      <c r="K113" s="37">
        <v>5.9027777777777797E-2</v>
      </c>
      <c r="L113" s="42">
        <v>14</v>
      </c>
      <c r="M113" s="347"/>
      <c r="N113" s="70"/>
      <c r="O113" s="70"/>
      <c r="P113" s="70"/>
      <c r="Q113" s="70"/>
      <c r="R113" s="70"/>
    </row>
    <row r="114" spans="1:18" ht="15" x14ac:dyDescent="0.2">
      <c r="A114" s="70"/>
      <c r="B114" s="45" t="s">
        <v>528</v>
      </c>
      <c r="C114" s="297">
        <f t="shared" si="12"/>
        <v>42737</v>
      </c>
      <c r="D114" s="40">
        <v>2017</v>
      </c>
      <c r="E114" s="40">
        <v>2</v>
      </c>
      <c r="F114" s="37">
        <v>0.73611111111111105</v>
      </c>
      <c r="G114" s="178">
        <v>0.13888888888888901</v>
      </c>
      <c r="H114" s="297">
        <f t="shared" si="13"/>
        <v>42737</v>
      </c>
      <c r="I114" s="40">
        <v>2017</v>
      </c>
      <c r="J114" s="40">
        <v>2</v>
      </c>
      <c r="K114" s="37">
        <v>0.875</v>
      </c>
      <c r="L114" s="42">
        <v>10.5</v>
      </c>
      <c r="M114" s="347"/>
      <c r="N114" s="70"/>
      <c r="O114" s="70"/>
      <c r="P114" s="70"/>
      <c r="Q114" s="70"/>
      <c r="R114" s="70"/>
    </row>
    <row r="115" spans="1:18" ht="15" x14ac:dyDescent="0.2">
      <c r="A115" s="70"/>
      <c r="B115" s="45" t="s">
        <v>532</v>
      </c>
      <c r="C115" s="297">
        <f t="shared" si="12"/>
        <v>42738</v>
      </c>
      <c r="D115" s="40">
        <v>2017</v>
      </c>
      <c r="E115" s="40">
        <v>3</v>
      </c>
      <c r="F115" s="37">
        <v>0.92291666666666705</v>
      </c>
      <c r="G115" s="178">
        <v>0.165277777777778</v>
      </c>
      <c r="H115" s="297">
        <f t="shared" si="13"/>
        <v>42739</v>
      </c>
      <c r="I115" s="40">
        <v>2017</v>
      </c>
      <c r="J115" s="40">
        <v>4</v>
      </c>
      <c r="K115" s="37">
        <v>8.8194444444444506E-2</v>
      </c>
      <c r="L115" s="42">
        <v>14</v>
      </c>
      <c r="M115" s="347"/>
      <c r="N115" s="70"/>
      <c r="O115" s="70"/>
      <c r="P115" s="70"/>
      <c r="Q115" s="70"/>
      <c r="R115" s="70"/>
    </row>
    <row r="116" spans="1:18" ht="15" x14ac:dyDescent="0.2">
      <c r="A116" s="70"/>
      <c r="B116" s="45" t="s">
        <v>534</v>
      </c>
      <c r="C116" s="297">
        <f t="shared" si="12"/>
        <v>42739</v>
      </c>
      <c r="D116" s="40">
        <v>2017</v>
      </c>
      <c r="E116" s="40">
        <v>4</v>
      </c>
      <c r="F116" s="37">
        <v>8.9583333333333307E-2</v>
      </c>
      <c r="G116" s="178">
        <v>0.40902777777777799</v>
      </c>
      <c r="H116" s="297">
        <f t="shared" si="13"/>
        <v>42739</v>
      </c>
      <c r="I116" s="40">
        <v>2017</v>
      </c>
      <c r="J116" s="40">
        <v>4</v>
      </c>
      <c r="K116" s="37">
        <v>0.49861111111111101</v>
      </c>
      <c r="L116" s="42">
        <v>14</v>
      </c>
      <c r="M116" s="347"/>
      <c r="N116" s="70"/>
      <c r="O116" s="70"/>
      <c r="P116" s="70"/>
      <c r="Q116" s="70"/>
      <c r="R116" s="70"/>
    </row>
    <row r="117" spans="1:18" ht="15" x14ac:dyDescent="0.2">
      <c r="A117" s="70"/>
      <c r="B117" s="45" t="s">
        <v>539</v>
      </c>
      <c r="C117" s="297">
        <f t="shared" si="12"/>
        <v>42740</v>
      </c>
      <c r="D117" s="40">
        <v>2017</v>
      </c>
      <c r="E117" s="40">
        <v>5</v>
      </c>
      <c r="F117" s="37">
        <v>0.29097222222222202</v>
      </c>
      <c r="G117" s="178">
        <v>0.41111111111111098</v>
      </c>
      <c r="H117" s="297">
        <f t="shared" si="13"/>
        <v>42740</v>
      </c>
      <c r="I117" s="40">
        <v>2017</v>
      </c>
      <c r="J117" s="40">
        <v>5</v>
      </c>
      <c r="K117" s="37">
        <v>0.70208333333333295</v>
      </c>
      <c r="L117" s="42">
        <v>14</v>
      </c>
      <c r="M117" s="347"/>
      <c r="N117" s="70"/>
      <c r="O117" s="70"/>
      <c r="P117" s="70"/>
      <c r="Q117" s="70"/>
      <c r="R117" s="70"/>
    </row>
    <row r="118" spans="1:18" ht="15" x14ac:dyDescent="0.2">
      <c r="A118" s="70"/>
      <c r="B118" s="45" t="s">
        <v>545</v>
      </c>
      <c r="C118" s="297">
        <f t="shared" si="12"/>
        <v>42742</v>
      </c>
      <c r="D118" s="40">
        <v>2017</v>
      </c>
      <c r="E118" s="40">
        <v>7</v>
      </c>
      <c r="F118" s="37">
        <v>0.48958333333333298</v>
      </c>
      <c r="G118" s="178">
        <v>0.24861111111111101</v>
      </c>
      <c r="H118" s="297">
        <f t="shared" si="13"/>
        <v>42742</v>
      </c>
      <c r="I118" s="40">
        <v>2017</v>
      </c>
      <c r="J118" s="40">
        <v>7</v>
      </c>
      <c r="K118" s="37">
        <v>0.73819444444444404</v>
      </c>
      <c r="L118" s="42">
        <v>14</v>
      </c>
      <c r="M118" s="347"/>
      <c r="N118" s="70"/>
      <c r="O118" s="70"/>
      <c r="P118" s="70"/>
      <c r="Q118" s="70"/>
      <c r="R118" s="70"/>
    </row>
    <row r="119" spans="1:18" ht="15" x14ac:dyDescent="0.2">
      <c r="A119" s="70"/>
      <c r="B119" s="45" t="s">
        <v>557</v>
      </c>
      <c r="C119" s="297">
        <f t="shared" si="12"/>
        <v>42744</v>
      </c>
      <c r="D119" s="40">
        <v>2017</v>
      </c>
      <c r="E119" s="40">
        <v>9</v>
      </c>
      <c r="F119" s="37">
        <v>0.625</v>
      </c>
      <c r="G119" s="178">
        <v>0.25</v>
      </c>
      <c r="H119" s="297">
        <f t="shared" si="13"/>
        <v>42744</v>
      </c>
      <c r="I119" s="40">
        <v>2017</v>
      </c>
      <c r="J119" s="40">
        <v>9</v>
      </c>
      <c r="K119" s="37">
        <v>0.875</v>
      </c>
      <c r="L119" s="42">
        <v>14</v>
      </c>
      <c r="M119" s="347"/>
      <c r="N119" s="70"/>
      <c r="O119" s="70"/>
      <c r="P119" s="70"/>
      <c r="Q119" s="70"/>
      <c r="R119" s="70"/>
    </row>
    <row r="120" spans="1:18" ht="15.75" thickBot="1" x14ac:dyDescent="0.25">
      <c r="A120" s="70"/>
      <c r="B120" s="224"/>
      <c r="C120" s="240"/>
      <c r="D120" s="241"/>
      <c r="E120" s="241"/>
      <c r="F120" s="245"/>
      <c r="G120" s="294"/>
      <c r="H120" s="244"/>
      <c r="I120" s="241"/>
      <c r="J120" s="241"/>
      <c r="K120" s="245"/>
      <c r="L120" s="224"/>
      <c r="M120" s="348"/>
      <c r="N120" s="70"/>
      <c r="O120" s="70"/>
      <c r="P120" s="70"/>
      <c r="Q120" s="70"/>
      <c r="R120" s="70"/>
    </row>
    <row r="121" spans="1:18" ht="15" x14ac:dyDescent="0.2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</row>
    <row r="122" spans="1:18" ht="15" x14ac:dyDescent="0.2">
      <c r="A122" s="70">
        <f>COUNTA(B105:B120)</f>
        <v>15</v>
      </c>
      <c r="B122" s="70" t="s">
        <v>270</v>
      </c>
      <c r="C122" s="70"/>
      <c r="D122" s="70"/>
      <c r="E122" s="84" t="s">
        <v>246</v>
      </c>
      <c r="F122" s="70">
        <f>DAY(G122)</f>
        <v>3</v>
      </c>
      <c r="G122" s="123">
        <f>SUM(G105:G120)</f>
        <v>3.5555555555555558</v>
      </c>
      <c r="H122" s="123"/>
      <c r="I122" s="70"/>
      <c r="J122" s="70"/>
      <c r="K122" s="84" t="s">
        <v>217</v>
      </c>
      <c r="L122" s="127">
        <f>SUM(L105:L120)</f>
        <v>213.5</v>
      </c>
      <c r="M122" s="70" t="s">
        <v>35</v>
      </c>
      <c r="N122" s="70"/>
      <c r="O122" s="70"/>
      <c r="P122" s="70"/>
      <c r="Q122" s="70"/>
      <c r="R122" s="70"/>
    </row>
  </sheetData>
  <mergeCells count="25">
    <mergeCell ref="L102:L103"/>
    <mergeCell ref="O55:O56"/>
    <mergeCell ref="P55:P56"/>
    <mergeCell ref="L55:L56"/>
    <mergeCell ref="M55:M56"/>
    <mergeCell ref="N55:N56"/>
    <mergeCell ref="B5:B6"/>
    <mergeCell ref="C5:F5"/>
    <mergeCell ref="B102:B103"/>
    <mergeCell ref="C102:F102"/>
    <mergeCell ref="H102:K102"/>
    <mergeCell ref="B55:B56"/>
    <mergeCell ref="C55:C56"/>
    <mergeCell ref="D55:F55"/>
    <mergeCell ref="G55:G56"/>
    <mergeCell ref="R5:R6"/>
    <mergeCell ref="H55:I55"/>
    <mergeCell ref="J55:J56"/>
    <mergeCell ref="H5:K5"/>
    <mergeCell ref="L5:L6"/>
    <mergeCell ref="M5:M6"/>
    <mergeCell ref="N5:N6"/>
    <mergeCell ref="K55:K56"/>
    <mergeCell ref="Q55:Q56"/>
    <mergeCell ref="O5:Q5"/>
  </mergeCells>
  <conditionalFormatting sqref="C58:G59">
    <cfRule type="cellIs" dxfId="49" priority="126" operator="equal">
      <formula>"No Co-add"</formula>
    </cfRule>
    <cfRule type="cellIs" dxfId="48" priority="127" operator="equal">
      <formula>"Co-add"</formula>
    </cfRule>
  </conditionalFormatting>
  <conditionalFormatting sqref="K58:K97">
    <cfRule type="containsErrors" dxfId="47" priority="124">
      <formula>ISERROR(K58)</formula>
    </cfRule>
    <cfRule type="cellIs" dxfId="46" priority="125" operator="lessThan">
      <formula>192</formula>
    </cfRule>
  </conditionalFormatting>
  <conditionalFormatting sqref="Q58:Q97">
    <cfRule type="cellIs" dxfId="45" priority="122" operator="equal">
      <formula>"Yes"</formula>
    </cfRule>
    <cfRule type="containsErrors" dxfId="44" priority="123">
      <formula>ISERROR(Q58)</formula>
    </cfRule>
  </conditionalFormatting>
  <conditionalFormatting sqref="A58:A97">
    <cfRule type="expression" dxfId="43" priority="132">
      <formula>IF($Q58="Yes",TRUE,FALSE)</formula>
    </cfRule>
  </conditionalFormatting>
  <conditionalFormatting sqref="D58:D97">
    <cfRule type="expression" dxfId="42" priority="108">
      <formula>AND($C58&gt;0,$D58=" ")</formula>
    </cfRule>
    <cfRule type="expression" dxfId="41" priority="109">
      <formula>AND($C58&gt;0,$D58="")</formula>
    </cfRule>
    <cfRule type="expression" dxfId="40" priority="110">
      <formula>AND($C58=200,$D58="No Co-add")</formula>
    </cfRule>
    <cfRule type="expression" dxfId="39" priority="111">
      <formula>AND($C58=400,$D58="Co-add")</formula>
    </cfRule>
    <cfRule type="expression" dxfId="38" priority="112">
      <formula>AND($C58=1100,$D58="No Co-add")</formula>
    </cfRule>
    <cfRule type="expression" dxfId="37" priority="113">
      <formula>AND($C58=2200,$D58="Co-add")</formula>
    </cfRule>
    <cfRule type="expression" dxfId="36" priority="114">
      <formula>AND($C58="Co-add",$D58=" ")</formula>
    </cfRule>
    <cfRule type="expression" dxfId="35" priority="115">
      <formula>AND($C58="Co-add",$D58="")</formula>
    </cfRule>
    <cfRule type="expression" dxfId="34" priority="116">
      <formula>AND($C58="No Co-add",$D58=" ")</formula>
    </cfRule>
    <cfRule type="expression" dxfId="33" priority="117">
      <formula>AND($C58="No Co-add",$D58="")</formula>
    </cfRule>
    <cfRule type="expression" dxfId="32" priority="118">
      <formula>AND($C58="Co-add",$D58="No Co-add")</formula>
    </cfRule>
    <cfRule type="expression" dxfId="31" priority="119">
      <formula>AND($C58="No Co-add",$D58="Co-add")</formula>
    </cfRule>
  </conditionalFormatting>
  <conditionalFormatting sqref="E58:E97">
    <cfRule type="expression" dxfId="30" priority="85">
      <formula>AND($C58&lt;1100,$E58="Co-add")</formula>
    </cfRule>
    <cfRule type="expression" dxfId="29" priority="86">
      <formula>AND($C58&lt;1100,$E58="No Co-add")</formula>
    </cfRule>
    <cfRule type="expression" dxfId="28" priority="97">
      <formula>AND($C58&gt;1000,$E58=" ")</formula>
    </cfRule>
    <cfRule type="expression" dxfId="27" priority="98">
      <formula>AND($C58&gt;1000,$E58="")</formula>
    </cfRule>
    <cfRule type="expression" dxfId="26" priority="99">
      <formula>AND($C58=1100,$E58="No Co-add")</formula>
    </cfRule>
    <cfRule type="expression" dxfId="25" priority="100">
      <formula>AND($C58=2200,$E58="Co-add")</formula>
    </cfRule>
    <cfRule type="expression" dxfId="24" priority="101">
      <formula>AND($C58="Co-add",$E58=" ")</formula>
    </cfRule>
    <cfRule type="expression" dxfId="23" priority="102">
      <formula>AND($C58="Co-add",$E58="")</formula>
    </cfRule>
    <cfRule type="expression" dxfId="22" priority="103">
      <formula>AND($C58="Co-add",$E58="No Co-add")</formula>
    </cfRule>
    <cfRule type="expression" dxfId="21" priority="104">
      <formula>AND($C58="No Co-add",$E58=" ")</formula>
    </cfRule>
    <cfRule type="expression" dxfId="20" priority="106">
      <formula>AND($C58="No Co-add",$E58="")</formula>
    </cfRule>
    <cfRule type="expression" dxfId="19" priority="107">
      <formula>AND($C58="No Co-add",$E58="Co-add")</formula>
    </cfRule>
  </conditionalFormatting>
  <conditionalFormatting sqref="F58:F97">
    <cfRule type="expression" dxfId="18" priority="83">
      <formula>AND($C58&lt;4000,$F58="Co-add")</formula>
    </cfRule>
    <cfRule type="expression" dxfId="17" priority="84">
      <formula>AND($C58&lt;4000,$F58="No Co-add")</formula>
    </cfRule>
    <cfRule type="expression" dxfId="16" priority="87">
      <formula>AND($C58="Co-add",$F58=" ")</formula>
    </cfRule>
    <cfRule type="expression" dxfId="15" priority="88">
      <formula>AND($C58="Co-add",$F58="")</formula>
    </cfRule>
    <cfRule type="expression" dxfId="14" priority="89">
      <formula>AND($C58="Co-add",$F58="No Co-add")</formula>
    </cfRule>
    <cfRule type="expression" dxfId="13" priority="90">
      <formula>AND($C58="No Co-add",$F58=" ")</formula>
    </cfRule>
    <cfRule type="expression" dxfId="12" priority="91">
      <formula>AND($C58="No Co-add",$F58="")</formula>
    </cfRule>
    <cfRule type="expression" dxfId="11" priority="93">
      <formula>AND($C58="No Co-add",$F58="Co-add")</formula>
    </cfRule>
    <cfRule type="expression" dxfId="10" priority="95">
      <formula>AND($C58&gt;4000,$F58=" ")</formula>
    </cfRule>
    <cfRule type="expression" dxfId="9" priority="96">
      <formula>AND($C58&gt;4000,$F58="")</formula>
    </cfRule>
  </conditionalFormatting>
  <conditionalFormatting sqref="C60:G97">
    <cfRule type="cellIs" dxfId="8" priority="39" stopIfTrue="1" operator="equal">
      <formula>"No Co-add"</formula>
    </cfRule>
    <cfRule type="cellIs" dxfId="7" priority="40" stopIfTrue="1" operator="equal">
      <formula>"Co-add"</formula>
    </cfRule>
  </conditionalFormatting>
  <printOptions gridLines="1" gridLinesSet="0"/>
  <pageMargins left="0.75" right="0.75" top="1" bottom="1" header="0.51181102300000003" footer="0.51181102300000003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7"/>
  <sheetViews>
    <sheetView workbookViewId="0"/>
  </sheetViews>
  <sheetFormatPr defaultColWidth="11.375" defaultRowHeight="15" x14ac:dyDescent="0.2"/>
  <cols>
    <col min="1" max="1" width="8" style="14" customWidth="1"/>
    <col min="2" max="2" width="23.375" style="14" customWidth="1"/>
    <col min="3" max="3" width="21.125" style="14" customWidth="1"/>
    <col min="4" max="4" width="22.625" style="14" customWidth="1"/>
    <col min="5" max="16384" width="11.375" style="14"/>
  </cols>
  <sheetData>
    <row r="3" spans="1:4" x14ac:dyDescent="0.2">
      <c r="A3" s="70"/>
      <c r="B3" s="70" t="s">
        <v>224</v>
      </c>
      <c r="C3" s="70"/>
      <c r="D3" s="70"/>
    </row>
    <row r="4" spans="1:4" ht="15.75" thickBot="1" x14ac:dyDescent="0.25">
      <c r="A4" s="70"/>
      <c r="B4" s="70"/>
      <c r="C4" s="70"/>
      <c r="D4" s="70"/>
    </row>
    <row r="5" spans="1:4" x14ac:dyDescent="0.2">
      <c r="A5" s="70"/>
      <c r="B5" s="587" t="s">
        <v>17</v>
      </c>
      <c r="C5" s="587" t="s">
        <v>225</v>
      </c>
      <c r="D5" s="587" t="s">
        <v>226</v>
      </c>
    </row>
    <row r="6" spans="1:4" ht="15.75" thickBot="1" x14ac:dyDescent="0.25">
      <c r="A6" s="70"/>
      <c r="B6" s="606"/>
      <c r="C6" s="606"/>
      <c r="D6" s="606"/>
    </row>
    <row r="7" spans="1:4" x14ac:dyDescent="0.2">
      <c r="A7" s="15"/>
      <c r="B7" s="139"/>
      <c r="C7" s="140"/>
      <c r="D7" s="140"/>
    </row>
    <row r="8" spans="1:4" x14ac:dyDescent="0.2">
      <c r="A8" s="21"/>
      <c r="B8" s="45"/>
      <c r="C8" s="141"/>
      <c r="D8" s="141"/>
    </row>
    <row r="9" spans="1:4" x14ac:dyDescent="0.2">
      <c r="A9" s="21"/>
      <c r="B9" s="45"/>
      <c r="C9" s="141"/>
      <c r="D9" s="141"/>
    </row>
    <row r="10" spans="1:4" x14ac:dyDescent="0.2">
      <c r="A10" s="21"/>
      <c r="B10" s="45"/>
      <c r="C10" s="141"/>
      <c r="D10" s="141"/>
    </row>
    <row r="11" spans="1:4" x14ac:dyDescent="0.2">
      <c r="A11" s="21"/>
      <c r="B11" s="45"/>
      <c r="C11" s="141"/>
      <c r="D11" s="141"/>
    </row>
    <row r="12" spans="1:4" x14ac:dyDescent="0.2">
      <c r="A12" s="21"/>
      <c r="B12" s="45"/>
      <c r="C12" s="141"/>
      <c r="D12" s="141"/>
    </row>
    <row r="13" spans="1:4" x14ac:dyDescent="0.2">
      <c r="A13" s="21"/>
      <c r="B13" s="45"/>
      <c r="C13" s="141"/>
      <c r="D13" s="141"/>
    </row>
    <row r="14" spans="1:4" x14ac:dyDescent="0.2">
      <c r="A14" s="21"/>
      <c r="B14" s="45"/>
      <c r="C14" s="141"/>
      <c r="D14" s="141"/>
    </row>
    <row r="15" spans="1:4" x14ac:dyDescent="0.2">
      <c r="A15" s="21"/>
      <c r="B15" s="45"/>
      <c r="C15" s="141"/>
      <c r="D15" s="141"/>
    </row>
    <row r="16" spans="1:4" x14ac:dyDescent="0.2">
      <c r="A16" s="21"/>
      <c r="B16" s="45"/>
      <c r="C16" s="141"/>
      <c r="D16" s="141"/>
    </row>
    <row r="17" spans="1:5" x14ac:dyDescent="0.2">
      <c r="A17" s="21"/>
      <c r="B17" s="45"/>
      <c r="C17" s="141"/>
      <c r="D17" s="141"/>
    </row>
    <row r="18" spans="1:5" x14ac:dyDescent="0.2">
      <c r="A18" s="21"/>
      <c r="B18" s="45"/>
      <c r="C18" s="141"/>
      <c r="D18" s="141"/>
    </row>
    <row r="19" spans="1:5" x14ac:dyDescent="0.2">
      <c r="A19" s="21"/>
      <c r="B19" s="45"/>
      <c r="C19" s="141"/>
      <c r="D19" s="141"/>
    </row>
    <row r="20" spans="1:5" x14ac:dyDescent="0.2">
      <c r="A20" s="21"/>
      <c r="B20" s="45"/>
      <c r="C20" s="141"/>
      <c r="D20" s="141"/>
    </row>
    <row r="21" spans="1:5" ht="15.75" thickBot="1" x14ac:dyDescent="0.25">
      <c r="A21" s="21"/>
      <c r="B21" s="73"/>
      <c r="C21" s="143"/>
      <c r="D21" s="143"/>
    </row>
    <row r="23" spans="1:5" x14ac:dyDescent="0.2">
      <c r="A23" s="14">
        <f>COUNTA(A8:A20)</f>
        <v>0</v>
      </c>
    </row>
    <row r="24" spans="1:5" s="64" customFormat="1" x14ac:dyDescent="0.2"/>
    <row r="25" spans="1:5" s="64" customFormat="1" x14ac:dyDescent="0.2">
      <c r="A25" s="82"/>
      <c r="B25" s="82"/>
      <c r="C25" s="82"/>
      <c r="D25" s="82"/>
    </row>
    <row r="26" spans="1:5" s="64" customFormat="1" x14ac:dyDescent="0.2">
      <c r="A26" s="82"/>
      <c r="B26" s="186"/>
      <c r="C26" s="186"/>
      <c r="D26" s="82"/>
    </row>
    <row r="27" spans="1:5" s="64" customFormat="1" x14ac:dyDescent="0.2">
      <c r="A27" s="82"/>
      <c r="B27" s="187"/>
      <c r="C27" s="187"/>
      <c r="D27" s="82"/>
    </row>
    <row r="28" spans="1:5" s="64" customFormat="1" x14ac:dyDescent="0.2">
      <c r="A28" s="349"/>
      <c r="B28" s="350"/>
      <c r="C28" s="135"/>
      <c r="D28" s="82"/>
    </row>
    <row r="29" spans="1:5" s="64" customFormat="1" x14ac:dyDescent="0.2">
      <c r="A29" s="8"/>
      <c r="B29" s="9"/>
      <c r="C29" s="351"/>
      <c r="D29" s="352"/>
    </row>
    <row r="30" spans="1:5" s="64" customFormat="1" x14ac:dyDescent="0.2">
      <c r="A30" s="8"/>
      <c r="B30" s="9"/>
      <c r="C30" s="351"/>
      <c r="D30" s="352"/>
      <c r="E30" s="352"/>
    </row>
    <row r="31" spans="1:5" s="64" customFormat="1" x14ac:dyDescent="0.2">
      <c r="A31" s="8"/>
      <c r="B31" s="9"/>
      <c r="C31" s="351"/>
      <c r="D31" s="352"/>
    </row>
    <row r="32" spans="1:5" s="64" customFormat="1" x14ac:dyDescent="0.2">
      <c r="A32" s="8"/>
      <c r="B32" s="9"/>
      <c r="C32" s="351"/>
      <c r="D32" s="352"/>
    </row>
    <row r="33" spans="1:4" s="64" customFormat="1" x14ac:dyDescent="0.2">
      <c r="A33" s="8"/>
      <c r="B33" s="9"/>
      <c r="C33" s="351"/>
      <c r="D33" s="352"/>
    </row>
    <row r="34" spans="1:4" s="64" customFormat="1" x14ac:dyDescent="0.2">
      <c r="A34" s="8"/>
      <c r="B34" s="9"/>
      <c r="C34" s="351"/>
      <c r="D34" s="352"/>
    </row>
    <row r="35" spans="1:4" s="64" customFormat="1" x14ac:dyDescent="0.2">
      <c r="A35" s="8"/>
      <c r="B35" s="9"/>
      <c r="C35" s="351"/>
      <c r="D35" s="352"/>
    </row>
    <row r="36" spans="1:4" s="64" customFormat="1" x14ac:dyDescent="0.2">
      <c r="A36" s="8"/>
      <c r="B36" s="9"/>
      <c r="C36" s="351"/>
      <c r="D36" s="352"/>
    </row>
    <row r="37" spans="1:4" s="64" customFormat="1" x14ac:dyDescent="0.2">
      <c r="A37" s="349"/>
      <c r="B37" s="350"/>
      <c r="C37" s="135"/>
      <c r="D37" s="352"/>
    </row>
  </sheetData>
  <mergeCells count="3">
    <mergeCell ref="B5:B6"/>
    <mergeCell ref="C5:C6"/>
    <mergeCell ref="D5:D6"/>
  </mergeCells>
  <printOptions gridLines="1" gridLinesSet="0"/>
  <pageMargins left="0.75" right="0.75" top="1" bottom="1" header="0.51181102300000003" footer="0.51181102300000003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2"/>
  <sheetViews>
    <sheetView workbookViewId="0"/>
  </sheetViews>
  <sheetFormatPr defaultColWidth="8.875" defaultRowHeight="15" x14ac:dyDescent="0.2"/>
  <cols>
    <col min="1" max="1" width="8.875" style="404"/>
    <col min="2" max="2" width="6.875" style="404" bestFit="1" customWidth="1"/>
    <col min="3" max="3" width="5.125" style="404" bestFit="1" customWidth="1"/>
    <col min="4" max="4" width="16" style="404" bestFit="1" customWidth="1"/>
    <col min="5" max="5" width="10.875" style="404" bestFit="1" customWidth="1"/>
    <col min="6" max="6" width="30.125" style="404" bestFit="1" customWidth="1"/>
    <col min="7" max="8" width="8.625" style="404" bestFit="1" customWidth="1"/>
    <col min="9" max="9" width="5.625" style="404" bestFit="1" customWidth="1"/>
    <col min="10" max="10" width="9.375" style="404" bestFit="1" customWidth="1"/>
    <col min="11" max="11" width="21.375" style="404" bestFit="1" customWidth="1"/>
    <col min="12" max="14" width="13.375" style="404" bestFit="1" customWidth="1"/>
    <col min="15" max="16" width="10.375" style="404" bestFit="1" customWidth="1"/>
    <col min="17" max="16384" width="8.875" style="404"/>
  </cols>
  <sheetData>
    <row r="2" spans="2:16" x14ac:dyDescent="0.2">
      <c r="B2" s="404" t="s">
        <v>320</v>
      </c>
      <c r="C2" s="404">
        <v>600</v>
      </c>
    </row>
    <row r="7" spans="2:16" x14ac:dyDescent="0.2">
      <c r="D7" s="404" t="s">
        <v>321</v>
      </c>
      <c r="E7" s="404" t="s">
        <v>322</v>
      </c>
      <c r="F7" s="404" t="s">
        <v>323</v>
      </c>
    </row>
    <row r="9" spans="2:16" x14ac:dyDescent="0.2">
      <c r="D9" s="404" t="s">
        <v>324</v>
      </c>
      <c r="E9" s="404">
        <v>56</v>
      </c>
      <c r="F9" s="404" t="s">
        <v>325</v>
      </c>
      <c r="G9" s="404" t="s">
        <v>326</v>
      </c>
      <c r="H9" s="404">
        <v>0</v>
      </c>
      <c r="I9" s="404">
        <v>39</v>
      </c>
      <c r="J9" s="404" t="s">
        <v>327</v>
      </c>
      <c r="K9" s="404" t="s">
        <v>328</v>
      </c>
      <c r="L9" s="404" t="s">
        <v>329</v>
      </c>
      <c r="M9" s="404" t="s">
        <v>330</v>
      </c>
      <c r="N9" s="404" t="s">
        <v>331</v>
      </c>
      <c r="O9" s="404" t="s">
        <v>332</v>
      </c>
      <c r="P9" s="404" t="s">
        <v>333</v>
      </c>
    </row>
    <row r="10" spans="2:16" x14ac:dyDescent="0.2">
      <c r="D10" s="404" t="s">
        <v>334</v>
      </c>
      <c r="E10" s="404">
        <v>8</v>
      </c>
      <c r="F10" s="404" t="s">
        <v>335</v>
      </c>
      <c r="G10" s="404">
        <v>0</v>
      </c>
      <c r="H10" s="404" t="s">
        <v>326</v>
      </c>
      <c r="I10" s="404" t="s">
        <v>336</v>
      </c>
      <c r="J10" s="404">
        <v>0</v>
      </c>
      <c r="K10" s="404" t="s">
        <v>337</v>
      </c>
      <c r="L10" s="404">
        <v>53</v>
      </c>
      <c r="M10" s="404">
        <v>1</v>
      </c>
    </row>
    <row r="11" spans="2:16" x14ac:dyDescent="0.2">
      <c r="D11" s="404" t="s">
        <v>338</v>
      </c>
      <c r="E11" s="404">
        <v>8</v>
      </c>
      <c r="F11" s="404" t="s">
        <v>335</v>
      </c>
      <c r="G11" s="404">
        <v>0</v>
      </c>
      <c r="H11" s="404" t="s">
        <v>326</v>
      </c>
      <c r="I11" s="404" t="s">
        <v>336</v>
      </c>
      <c r="J11" s="404">
        <v>0</v>
      </c>
      <c r="K11" s="404" t="s">
        <v>337</v>
      </c>
      <c r="L11" s="404">
        <v>601</v>
      </c>
      <c r="M11" s="404">
        <v>1</v>
      </c>
    </row>
    <row r="12" spans="2:16" x14ac:dyDescent="0.2">
      <c r="D12" s="404" t="s">
        <v>339</v>
      </c>
      <c r="E12" s="404">
        <v>9676800</v>
      </c>
      <c r="F12" s="404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7"/>
  <sheetViews>
    <sheetView workbookViewId="0"/>
  </sheetViews>
  <sheetFormatPr defaultColWidth="8.875" defaultRowHeight="15" x14ac:dyDescent="0.2"/>
  <cols>
    <col min="1" max="1" width="8.875" style="404"/>
    <col min="2" max="2" width="6.875" style="404" bestFit="1" customWidth="1"/>
    <col min="3" max="3" width="5.125" style="404" bestFit="1" customWidth="1"/>
    <col min="4" max="4" width="15" style="404" bestFit="1" customWidth="1"/>
    <col min="5" max="5" width="10.875" style="404" bestFit="1" customWidth="1"/>
    <col min="6" max="6" width="30.125" style="404" bestFit="1" customWidth="1"/>
    <col min="7" max="7" width="8.625" style="404" bestFit="1" customWidth="1"/>
    <col min="8" max="8" width="2.375" style="404" bestFit="1" customWidth="1"/>
    <col min="9" max="9" width="4.375" style="404" bestFit="1" customWidth="1"/>
    <col min="10" max="11" width="10.375" style="404" bestFit="1" customWidth="1"/>
    <col min="12" max="14" width="13.375" style="404" bestFit="1" customWidth="1"/>
    <col min="15" max="16" width="10.375" style="404" bestFit="1" customWidth="1"/>
    <col min="17" max="16384" width="8.875" style="404"/>
  </cols>
  <sheetData>
    <row r="2" spans="2:16" x14ac:dyDescent="0.2">
      <c r="B2" s="404" t="s">
        <v>320</v>
      </c>
      <c r="C2" s="404">
        <v>601</v>
      </c>
    </row>
    <row r="7" spans="2:16" x14ac:dyDescent="0.2">
      <c r="D7" s="404" t="s">
        <v>321</v>
      </c>
      <c r="E7" s="404" t="s">
        <v>322</v>
      </c>
      <c r="F7" s="404" t="s">
        <v>323</v>
      </c>
    </row>
    <row r="9" spans="2:16" x14ac:dyDescent="0.2">
      <c r="D9" s="404" t="s">
        <v>341</v>
      </c>
      <c r="E9" s="404">
        <v>8</v>
      </c>
      <c r="F9" s="404" t="s">
        <v>342</v>
      </c>
      <c r="G9" s="404" t="s">
        <v>326</v>
      </c>
      <c r="H9" s="404">
        <v>0</v>
      </c>
      <c r="I9" s="404" t="s">
        <v>343</v>
      </c>
      <c r="J9" s="404" t="s">
        <v>344</v>
      </c>
    </row>
    <row r="10" spans="2:16" x14ac:dyDescent="0.2">
      <c r="D10" s="404" t="s">
        <v>345</v>
      </c>
      <c r="E10" s="404">
        <v>8</v>
      </c>
      <c r="F10" s="404" t="s">
        <v>346</v>
      </c>
      <c r="G10" s="404" t="s">
        <v>326</v>
      </c>
      <c r="H10" s="404">
        <v>0</v>
      </c>
    </row>
    <row r="11" spans="2:16" x14ac:dyDescent="0.2">
      <c r="D11" s="404" t="s">
        <v>347</v>
      </c>
      <c r="E11" s="404">
        <v>8</v>
      </c>
      <c r="F11" s="404" t="s">
        <v>348</v>
      </c>
      <c r="G11" s="404" t="s">
        <v>326</v>
      </c>
      <c r="H11" s="404">
        <v>0</v>
      </c>
    </row>
    <row r="12" spans="2:16" x14ac:dyDescent="0.2">
      <c r="D12" s="404" t="s">
        <v>349</v>
      </c>
      <c r="E12" s="404">
        <v>8</v>
      </c>
      <c r="F12" s="404" t="s">
        <v>350</v>
      </c>
      <c r="G12" s="404" t="s">
        <v>326</v>
      </c>
      <c r="H12" s="404">
        <v>0</v>
      </c>
    </row>
    <row r="13" spans="2:16" x14ac:dyDescent="0.2">
      <c r="D13" s="404" t="s">
        <v>351</v>
      </c>
      <c r="E13" s="404">
        <v>8</v>
      </c>
      <c r="F13" s="404" t="s">
        <v>352</v>
      </c>
      <c r="G13" s="404" t="s">
        <v>326</v>
      </c>
      <c r="H13" s="404">
        <v>0</v>
      </c>
    </row>
    <row r="14" spans="2:16" x14ac:dyDescent="0.2">
      <c r="D14" s="404" t="s">
        <v>353</v>
      </c>
      <c r="E14" s="404">
        <v>8</v>
      </c>
      <c r="F14" s="404" t="s">
        <v>354</v>
      </c>
      <c r="G14" s="404" t="s">
        <v>326</v>
      </c>
      <c r="H14" s="404">
        <v>0</v>
      </c>
    </row>
    <row r="15" spans="2:16" x14ac:dyDescent="0.2">
      <c r="D15" s="404" t="s">
        <v>324</v>
      </c>
      <c r="E15" s="404">
        <v>8</v>
      </c>
      <c r="F15" s="404" t="s">
        <v>355</v>
      </c>
      <c r="G15" s="404" t="s">
        <v>326</v>
      </c>
      <c r="H15" s="404">
        <v>0</v>
      </c>
    </row>
    <row r="16" spans="2:16" x14ac:dyDescent="0.2">
      <c r="D16" s="404" t="s">
        <v>334</v>
      </c>
      <c r="E16" s="404">
        <v>8</v>
      </c>
      <c r="F16" s="404" t="s">
        <v>325</v>
      </c>
      <c r="G16" s="404" t="s">
        <v>326</v>
      </c>
      <c r="H16" s="404">
        <v>0</v>
      </c>
      <c r="I16" s="404">
        <v>39</v>
      </c>
      <c r="J16" s="404" t="s">
        <v>327</v>
      </c>
      <c r="K16" s="404" t="s">
        <v>328</v>
      </c>
      <c r="L16" s="404" t="s">
        <v>329</v>
      </c>
      <c r="M16" s="404" t="s">
        <v>330</v>
      </c>
      <c r="N16" s="404" t="s">
        <v>331</v>
      </c>
      <c r="O16" s="404" t="s">
        <v>332</v>
      </c>
      <c r="P16" s="404" t="s">
        <v>333</v>
      </c>
    </row>
    <row r="17" spans="4:6" x14ac:dyDescent="0.2">
      <c r="D17" s="404" t="s">
        <v>356</v>
      </c>
      <c r="E17" s="404">
        <v>8</v>
      </c>
      <c r="F17" s="404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2"/>
  <sheetViews>
    <sheetView workbookViewId="0"/>
  </sheetViews>
  <sheetFormatPr defaultColWidth="8.875" defaultRowHeight="15" x14ac:dyDescent="0.2"/>
  <cols>
    <col min="1" max="1" width="8.875" style="404"/>
    <col min="2" max="2" width="6.875" style="404" bestFit="1" customWidth="1"/>
    <col min="3" max="3" width="5.125" style="404" bestFit="1" customWidth="1"/>
    <col min="4" max="4" width="16" style="404" bestFit="1" customWidth="1"/>
    <col min="5" max="5" width="10.875" style="404" bestFit="1" customWidth="1"/>
    <col min="6" max="6" width="30.125" style="404" bestFit="1" customWidth="1"/>
    <col min="7" max="8" width="8.625" style="404" bestFit="1" customWidth="1"/>
    <col min="9" max="9" width="5.625" style="404" bestFit="1" customWidth="1"/>
    <col min="10" max="10" width="9.375" style="404" bestFit="1" customWidth="1"/>
    <col min="11" max="11" width="21.375" style="404" bestFit="1" customWidth="1"/>
    <col min="12" max="14" width="13.375" style="404" bestFit="1" customWidth="1"/>
    <col min="15" max="16" width="10.375" style="404" bestFit="1" customWidth="1"/>
    <col min="17" max="16384" width="8.875" style="404"/>
  </cols>
  <sheetData>
    <row r="2" spans="2:16" x14ac:dyDescent="0.2">
      <c r="B2" s="404" t="s">
        <v>320</v>
      </c>
      <c r="C2" s="404">
        <v>602</v>
      </c>
    </row>
    <row r="7" spans="2:16" x14ac:dyDescent="0.2">
      <c r="D7" s="404" t="s">
        <v>321</v>
      </c>
      <c r="E7" s="404" t="s">
        <v>322</v>
      </c>
      <c r="F7" s="404" t="s">
        <v>323</v>
      </c>
    </row>
    <row r="9" spans="2:16" x14ac:dyDescent="0.2">
      <c r="D9" s="404" t="s">
        <v>324</v>
      </c>
      <c r="E9" s="404">
        <v>56</v>
      </c>
      <c r="F9" s="404" t="s">
        <v>325</v>
      </c>
      <c r="G9" s="404" t="s">
        <v>326</v>
      </c>
      <c r="H9" s="404">
        <v>0</v>
      </c>
      <c r="I9" s="404">
        <v>97</v>
      </c>
      <c r="J9" s="404" t="s">
        <v>327</v>
      </c>
      <c r="K9" s="404" t="s">
        <v>328</v>
      </c>
      <c r="L9" s="404" t="s">
        <v>329</v>
      </c>
      <c r="M9" s="404" t="s">
        <v>330</v>
      </c>
      <c r="N9" s="404" t="s">
        <v>331</v>
      </c>
      <c r="O9" s="404" t="s">
        <v>332</v>
      </c>
      <c r="P9" s="404" t="s">
        <v>333</v>
      </c>
    </row>
    <row r="10" spans="2:16" x14ac:dyDescent="0.2">
      <c r="D10" s="404" t="s">
        <v>334</v>
      </c>
      <c r="E10" s="404">
        <v>8</v>
      </c>
      <c r="F10" s="404" t="s">
        <v>335</v>
      </c>
      <c r="G10" s="404">
        <v>0</v>
      </c>
      <c r="H10" s="404" t="s">
        <v>326</v>
      </c>
      <c r="I10" s="404" t="s">
        <v>336</v>
      </c>
      <c r="J10" s="404">
        <v>0</v>
      </c>
      <c r="K10" s="404" t="s">
        <v>337</v>
      </c>
      <c r="L10" s="404">
        <v>53</v>
      </c>
      <c r="M10" s="404">
        <v>1</v>
      </c>
    </row>
    <row r="11" spans="2:16" x14ac:dyDescent="0.2">
      <c r="D11" s="404" t="s">
        <v>338</v>
      </c>
      <c r="E11" s="404">
        <v>8</v>
      </c>
      <c r="F11" s="404" t="s">
        <v>335</v>
      </c>
      <c r="G11" s="404">
        <v>0</v>
      </c>
      <c r="H11" s="404" t="s">
        <v>326</v>
      </c>
      <c r="I11" s="404" t="s">
        <v>336</v>
      </c>
      <c r="J11" s="404">
        <v>0</v>
      </c>
      <c r="K11" s="404" t="s">
        <v>337</v>
      </c>
      <c r="L11" s="404">
        <v>603</v>
      </c>
      <c r="M11" s="404">
        <v>1</v>
      </c>
    </row>
    <row r="12" spans="2:16" x14ac:dyDescent="0.2">
      <c r="D12" s="404" t="s">
        <v>339</v>
      </c>
      <c r="E12" s="404">
        <v>9676800</v>
      </c>
      <c r="F12" s="404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8"/>
  <sheetViews>
    <sheetView workbookViewId="0"/>
  </sheetViews>
  <sheetFormatPr defaultColWidth="11.375" defaultRowHeight="15" x14ac:dyDescent="0.2"/>
  <cols>
    <col min="1" max="1" width="6.375" style="14" bestFit="1" customWidth="1"/>
    <col min="2" max="2" width="45.125" style="14" bestFit="1" customWidth="1"/>
    <col min="3" max="3" width="41.375" style="14" bestFit="1" customWidth="1"/>
    <col min="4" max="16384" width="11.375" style="14"/>
  </cols>
  <sheetData>
    <row r="1" spans="1:3" ht="15.75" thickBot="1" x14ac:dyDescent="0.25">
      <c r="A1" s="70"/>
      <c r="B1" s="70"/>
      <c r="C1" s="70"/>
    </row>
    <row r="2" spans="1:3" x14ac:dyDescent="0.2">
      <c r="A2" s="70"/>
      <c r="B2" s="587" t="s">
        <v>17</v>
      </c>
      <c r="C2" s="589" t="s">
        <v>7</v>
      </c>
    </row>
    <row r="3" spans="1:3" ht="15.75" thickBot="1" x14ac:dyDescent="0.25">
      <c r="A3" s="70"/>
      <c r="B3" s="588"/>
      <c r="C3" s="590"/>
    </row>
    <row r="4" spans="1:3" x14ac:dyDescent="0.2">
      <c r="A4" s="70"/>
      <c r="B4" s="71"/>
      <c r="C4" s="389"/>
    </row>
    <row r="5" spans="1:3" x14ac:dyDescent="0.2">
      <c r="A5" s="21">
        <v>1</v>
      </c>
      <c r="B5" s="45" t="s">
        <v>365</v>
      </c>
      <c r="C5" s="473">
        <v>235232235</v>
      </c>
    </row>
    <row r="6" spans="1:3" x14ac:dyDescent="0.2">
      <c r="A6" s="21">
        <v>2</v>
      </c>
      <c r="B6" s="45" t="s">
        <v>369</v>
      </c>
      <c r="C6" s="389">
        <v>572</v>
      </c>
    </row>
    <row r="7" spans="1:3" x14ac:dyDescent="0.2">
      <c r="A7" s="21">
        <v>3</v>
      </c>
      <c r="B7" s="45" t="s">
        <v>371</v>
      </c>
      <c r="C7" s="389">
        <v>752</v>
      </c>
    </row>
    <row r="8" spans="1:3" x14ac:dyDescent="0.2">
      <c r="A8" s="21">
        <v>4</v>
      </c>
      <c r="B8" s="45" t="s">
        <v>372</v>
      </c>
      <c r="C8" s="389">
        <v>472</v>
      </c>
    </row>
    <row r="9" spans="1:3" x14ac:dyDescent="0.2">
      <c r="A9" s="21">
        <v>5</v>
      </c>
      <c r="B9" s="45" t="s">
        <v>373</v>
      </c>
      <c r="C9" s="389">
        <v>754</v>
      </c>
    </row>
    <row r="10" spans="1:3" x14ac:dyDescent="0.2">
      <c r="A10" s="21">
        <v>6</v>
      </c>
      <c r="B10" s="45" t="s">
        <v>374</v>
      </c>
      <c r="C10" s="512" t="s">
        <v>676</v>
      </c>
    </row>
    <row r="11" spans="1:3" x14ac:dyDescent="0.2">
      <c r="A11" s="21">
        <v>7</v>
      </c>
      <c r="B11" s="45" t="s">
        <v>378</v>
      </c>
      <c r="C11" s="389">
        <v>405</v>
      </c>
    </row>
    <row r="12" spans="1:3" x14ac:dyDescent="0.2">
      <c r="A12" s="21">
        <v>8</v>
      </c>
      <c r="B12" s="45" t="s">
        <v>379</v>
      </c>
      <c r="C12" s="389">
        <v>405</v>
      </c>
    </row>
    <row r="13" spans="1:3" x14ac:dyDescent="0.2">
      <c r="A13" s="21">
        <v>9</v>
      </c>
      <c r="B13" s="45" t="s">
        <v>380</v>
      </c>
      <c r="C13" s="389">
        <v>758</v>
      </c>
    </row>
    <row r="14" spans="1:3" x14ac:dyDescent="0.2">
      <c r="A14" s="21">
        <v>10</v>
      </c>
      <c r="B14" s="45" t="s">
        <v>384</v>
      </c>
      <c r="C14" s="389">
        <v>759</v>
      </c>
    </row>
    <row r="15" spans="1:3" x14ac:dyDescent="0.2">
      <c r="A15" s="21">
        <v>11</v>
      </c>
      <c r="B15" s="45" t="s">
        <v>386</v>
      </c>
      <c r="C15" s="389">
        <v>760</v>
      </c>
    </row>
    <row r="16" spans="1:3" x14ac:dyDescent="0.2">
      <c r="A16" s="21">
        <v>12</v>
      </c>
      <c r="B16" s="45" t="s">
        <v>389</v>
      </c>
      <c r="C16" s="389">
        <v>761</v>
      </c>
    </row>
    <row r="17" spans="1:3" x14ac:dyDescent="0.2">
      <c r="A17" s="21">
        <v>13</v>
      </c>
      <c r="B17" s="45" t="s">
        <v>390</v>
      </c>
      <c r="C17" s="389">
        <v>762</v>
      </c>
    </row>
    <row r="18" spans="1:3" x14ac:dyDescent="0.2">
      <c r="A18" s="21">
        <v>14</v>
      </c>
      <c r="B18" s="45" t="s">
        <v>391</v>
      </c>
      <c r="C18" s="389">
        <v>473</v>
      </c>
    </row>
    <row r="19" spans="1:3" x14ac:dyDescent="0.2">
      <c r="A19" s="21">
        <v>15</v>
      </c>
      <c r="B19" s="45" t="s">
        <v>392</v>
      </c>
      <c r="C19" s="389">
        <v>473</v>
      </c>
    </row>
    <row r="20" spans="1:3" x14ac:dyDescent="0.2">
      <c r="A20" s="21">
        <v>16</v>
      </c>
      <c r="B20" s="45" t="s">
        <v>393</v>
      </c>
      <c r="C20" s="389">
        <v>473</v>
      </c>
    </row>
    <row r="21" spans="1:3" x14ac:dyDescent="0.2">
      <c r="A21" s="21">
        <v>17</v>
      </c>
      <c r="B21" s="45" t="s">
        <v>394</v>
      </c>
      <c r="C21" s="389">
        <v>245</v>
      </c>
    </row>
    <row r="22" spans="1:3" x14ac:dyDescent="0.2">
      <c r="A22" s="21">
        <v>18</v>
      </c>
      <c r="B22" s="45" t="s">
        <v>395</v>
      </c>
      <c r="C22" s="389">
        <v>245</v>
      </c>
    </row>
    <row r="23" spans="1:3" x14ac:dyDescent="0.2">
      <c r="A23" s="21">
        <v>19</v>
      </c>
      <c r="B23" s="45" t="s">
        <v>396</v>
      </c>
      <c r="C23" s="389">
        <v>245</v>
      </c>
    </row>
    <row r="24" spans="1:3" x14ac:dyDescent="0.2">
      <c r="A24" s="21">
        <v>20</v>
      </c>
      <c r="B24" s="45" t="s">
        <v>397</v>
      </c>
      <c r="C24" s="389">
        <v>208</v>
      </c>
    </row>
    <row r="25" spans="1:3" x14ac:dyDescent="0.2">
      <c r="A25" s="21">
        <v>21</v>
      </c>
      <c r="B25" s="45" t="s">
        <v>400</v>
      </c>
      <c r="C25" s="389">
        <v>208</v>
      </c>
    </row>
    <row r="26" spans="1:3" x14ac:dyDescent="0.2">
      <c r="A26" s="21">
        <v>22</v>
      </c>
      <c r="B26" s="45" t="s">
        <v>401</v>
      </c>
      <c r="C26" s="389">
        <v>283</v>
      </c>
    </row>
    <row r="27" spans="1:3" x14ac:dyDescent="0.2">
      <c r="A27" s="21">
        <v>23</v>
      </c>
      <c r="B27" s="45" t="s">
        <v>402</v>
      </c>
      <c r="C27" s="389">
        <v>461</v>
      </c>
    </row>
    <row r="28" spans="1:3" x14ac:dyDescent="0.2">
      <c r="A28" s="21">
        <v>24</v>
      </c>
      <c r="B28" s="45" t="s">
        <v>404</v>
      </c>
      <c r="C28" s="389">
        <v>541</v>
      </c>
    </row>
    <row r="29" spans="1:3" x14ac:dyDescent="0.2">
      <c r="A29" s="21">
        <v>25</v>
      </c>
      <c r="B29" s="45" t="s">
        <v>406</v>
      </c>
      <c r="C29" s="389">
        <v>591</v>
      </c>
    </row>
    <row r="30" spans="1:3" x14ac:dyDescent="0.2">
      <c r="A30" s="21">
        <v>26</v>
      </c>
      <c r="B30" s="45" t="s">
        <v>407</v>
      </c>
      <c r="C30" s="389">
        <v>473</v>
      </c>
    </row>
    <row r="31" spans="1:3" x14ac:dyDescent="0.2">
      <c r="A31" s="21">
        <v>27</v>
      </c>
      <c r="B31" s="45" t="s">
        <v>409</v>
      </c>
      <c r="C31" s="389">
        <v>776</v>
      </c>
    </row>
    <row r="32" spans="1:3" x14ac:dyDescent="0.2">
      <c r="A32" s="21">
        <v>28</v>
      </c>
      <c r="B32" s="45" t="s">
        <v>410</v>
      </c>
      <c r="C32" s="475">
        <v>297294297</v>
      </c>
    </row>
    <row r="33" spans="1:3" x14ac:dyDescent="0.2">
      <c r="A33" s="21">
        <v>29</v>
      </c>
      <c r="B33" s="45" t="s">
        <v>412</v>
      </c>
      <c r="C33" s="72">
        <v>778</v>
      </c>
    </row>
    <row r="34" spans="1:3" x14ac:dyDescent="0.2">
      <c r="A34" s="21">
        <v>30</v>
      </c>
      <c r="B34" s="45" t="s">
        <v>413</v>
      </c>
      <c r="C34" s="475">
        <v>235232235</v>
      </c>
    </row>
    <row r="35" spans="1:3" x14ac:dyDescent="0.2">
      <c r="A35" s="21">
        <v>31</v>
      </c>
      <c r="B35" s="45" t="s">
        <v>415</v>
      </c>
      <c r="C35" s="72">
        <v>572</v>
      </c>
    </row>
    <row r="36" spans="1:3" x14ac:dyDescent="0.2">
      <c r="A36" s="21">
        <v>32</v>
      </c>
      <c r="B36" s="45" t="s">
        <v>416</v>
      </c>
      <c r="C36" s="72">
        <v>781</v>
      </c>
    </row>
    <row r="37" spans="1:3" x14ac:dyDescent="0.2">
      <c r="A37" s="21">
        <v>33</v>
      </c>
      <c r="B37" s="45" t="s">
        <v>417</v>
      </c>
      <c r="C37" s="72">
        <v>572</v>
      </c>
    </row>
    <row r="38" spans="1:3" x14ac:dyDescent="0.2">
      <c r="A38" s="21">
        <v>34</v>
      </c>
      <c r="B38" s="45" t="s">
        <v>418</v>
      </c>
      <c r="C38" s="72">
        <v>783</v>
      </c>
    </row>
    <row r="39" spans="1:3" x14ac:dyDescent="0.2">
      <c r="A39" s="21">
        <v>35</v>
      </c>
      <c r="B39" s="45" t="s">
        <v>419</v>
      </c>
      <c r="C39" s="72">
        <v>784</v>
      </c>
    </row>
    <row r="40" spans="1:3" x14ac:dyDescent="0.2">
      <c r="A40" s="21">
        <v>36</v>
      </c>
      <c r="B40" s="45" t="s">
        <v>422</v>
      </c>
      <c r="C40" s="72">
        <v>785</v>
      </c>
    </row>
    <row r="41" spans="1:3" x14ac:dyDescent="0.2">
      <c r="A41" s="21">
        <v>37</v>
      </c>
      <c r="B41" s="45" t="s">
        <v>423</v>
      </c>
      <c r="C41" s="72">
        <v>192</v>
      </c>
    </row>
    <row r="42" spans="1:3" x14ac:dyDescent="0.2">
      <c r="A42" s="21">
        <v>38</v>
      </c>
      <c r="B42" s="45" t="s">
        <v>424</v>
      </c>
      <c r="C42" s="475">
        <v>234231234</v>
      </c>
    </row>
    <row r="43" spans="1:3" x14ac:dyDescent="0.2">
      <c r="A43" s="21">
        <v>39</v>
      </c>
      <c r="B43" s="45" t="s">
        <v>430</v>
      </c>
      <c r="C43" s="72">
        <v>788</v>
      </c>
    </row>
    <row r="44" spans="1:3" x14ac:dyDescent="0.2">
      <c r="A44" s="21">
        <v>40</v>
      </c>
      <c r="B44" s="45" t="s">
        <v>431</v>
      </c>
      <c r="C44" s="72">
        <v>405</v>
      </c>
    </row>
    <row r="45" spans="1:3" x14ac:dyDescent="0.2">
      <c r="A45" s="21">
        <v>41</v>
      </c>
      <c r="B45" s="45" t="s">
        <v>432</v>
      </c>
      <c r="C45" s="72">
        <v>790</v>
      </c>
    </row>
    <row r="46" spans="1:3" x14ac:dyDescent="0.2">
      <c r="A46" s="21">
        <v>42</v>
      </c>
      <c r="B46" s="45" t="s">
        <v>433</v>
      </c>
      <c r="C46" s="72">
        <v>791</v>
      </c>
    </row>
    <row r="47" spans="1:3" x14ac:dyDescent="0.2">
      <c r="A47" s="21">
        <v>43</v>
      </c>
      <c r="B47" s="45" t="s">
        <v>434</v>
      </c>
      <c r="C47" s="72">
        <v>792</v>
      </c>
    </row>
    <row r="48" spans="1:3" x14ac:dyDescent="0.2">
      <c r="A48" s="21">
        <v>44</v>
      </c>
      <c r="B48" s="45" t="s">
        <v>435</v>
      </c>
      <c r="C48" s="72">
        <v>793</v>
      </c>
    </row>
    <row r="49" spans="1:3" x14ac:dyDescent="0.2">
      <c r="A49" s="21">
        <v>45</v>
      </c>
      <c r="B49" s="45" t="s">
        <v>436</v>
      </c>
      <c r="C49" s="72">
        <v>541</v>
      </c>
    </row>
    <row r="50" spans="1:3" x14ac:dyDescent="0.2">
      <c r="A50" s="21">
        <v>46</v>
      </c>
      <c r="B50" s="45" t="s">
        <v>439</v>
      </c>
      <c r="C50" s="72">
        <v>467</v>
      </c>
    </row>
    <row r="51" spans="1:3" x14ac:dyDescent="0.2">
      <c r="A51" s="21">
        <v>47</v>
      </c>
      <c r="B51" s="45" t="s">
        <v>441</v>
      </c>
      <c r="C51" s="72">
        <v>491</v>
      </c>
    </row>
    <row r="52" spans="1:3" x14ac:dyDescent="0.2">
      <c r="A52" s="21">
        <v>48</v>
      </c>
      <c r="B52" s="45" t="s">
        <v>442</v>
      </c>
      <c r="C52" s="72">
        <v>541</v>
      </c>
    </row>
    <row r="53" spans="1:3" x14ac:dyDescent="0.2">
      <c r="A53" s="21">
        <v>49</v>
      </c>
      <c r="B53" s="45" t="s">
        <v>444</v>
      </c>
      <c r="C53" s="72">
        <v>491</v>
      </c>
    </row>
    <row r="54" spans="1:3" x14ac:dyDescent="0.2">
      <c r="A54" s="21">
        <v>50</v>
      </c>
      <c r="B54" s="45" t="s">
        <v>445</v>
      </c>
      <c r="C54" s="72">
        <v>467</v>
      </c>
    </row>
    <row r="55" spans="1:3" x14ac:dyDescent="0.2">
      <c r="A55" s="21">
        <v>51</v>
      </c>
      <c r="B55" s="45" t="s">
        <v>446</v>
      </c>
      <c r="C55" s="72">
        <v>491</v>
      </c>
    </row>
    <row r="56" spans="1:3" x14ac:dyDescent="0.2">
      <c r="A56" s="21">
        <v>52</v>
      </c>
      <c r="B56" s="45" t="s">
        <v>447</v>
      </c>
      <c r="C56" s="72">
        <v>541</v>
      </c>
    </row>
    <row r="57" spans="1:3" x14ac:dyDescent="0.2">
      <c r="A57" s="21">
        <v>53</v>
      </c>
      <c r="B57" s="45" t="s">
        <v>449</v>
      </c>
      <c r="C57" s="72">
        <v>541</v>
      </c>
    </row>
    <row r="58" spans="1:3" x14ac:dyDescent="0.2">
      <c r="A58" s="21">
        <v>54</v>
      </c>
      <c r="B58" s="45" t="s">
        <v>450</v>
      </c>
      <c r="C58" s="72">
        <v>467</v>
      </c>
    </row>
    <row r="59" spans="1:3" x14ac:dyDescent="0.2">
      <c r="A59" s="21">
        <v>55</v>
      </c>
      <c r="B59" s="45" t="s">
        <v>451</v>
      </c>
      <c r="C59" s="72">
        <v>491</v>
      </c>
    </row>
    <row r="60" spans="1:3" x14ac:dyDescent="0.2">
      <c r="A60" s="21">
        <v>56</v>
      </c>
      <c r="B60" s="45" t="s">
        <v>452</v>
      </c>
      <c r="C60" s="72">
        <v>467</v>
      </c>
    </row>
    <row r="61" spans="1:3" x14ac:dyDescent="0.2">
      <c r="A61" s="21">
        <v>57</v>
      </c>
      <c r="B61" s="45" t="s">
        <v>453</v>
      </c>
      <c r="C61" s="72">
        <v>491</v>
      </c>
    </row>
    <row r="62" spans="1:3" x14ac:dyDescent="0.2">
      <c r="A62" s="21">
        <v>58</v>
      </c>
      <c r="B62" s="45" t="s">
        <v>454</v>
      </c>
      <c r="C62" s="72">
        <v>807</v>
      </c>
    </row>
    <row r="63" spans="1:3" x14ac:dyDescent="0.2">
      <c r="A63" s="21">
        <v>59</v>
      </c>
      <c r="B63" s="45" t="s">
        <v>455</v>
      </c>
      <c r="C63" s="72">
        <v>192</v>
      </c>
    </row>
    <row r="64" spans="1:3" x14ac:dyDescent="0.2">
      <c r="A64" s="21">
        <v>60</v>
      </c>
      <c r="B64" s="45" t="s">
        <v>456</v>
      </c>
      <c r="C64" s="72">
        <v>809</v>
      </c>
    </row>
    <row r="65" spans="1:3" x14ac:dyDescent="0.2">
      <c r="A65" s="21">
        <v>61</v>
      </c>
      <c r="B65" s="45" t="s">
        <v>457</v>
      </c>
      <c r="C65" s="72">
        <v>341</v>
      </c>
    </row>
    <row r="66" spans="1:3" x14ac:dyDescent="0.2">
      <c r="A66" s="21">
        <v>62</v>
      </c>
      <c r="B66" s="45" t="s">
        <v>458</v>
      </c>
      <c r="C66" s="475">
        <v>203200203</v>
      </c>
    </row>
    <row r="67" spans="1:3" x14ac:dyDescent="0.2">
      <c r="A67" s="21">
        <v>63</v>
      </c>
      <c r="B67" s="45" t="s">
        <v>460</v>
      </c>
      <c r="C67" s="72">
        <v>192</v>
      </c>
    </row>
    <row r="68" spans="1:3" x14ac:dyDescent="0.2">
      <c r="A68" s="21">
        <v>64</v>
      </c>
      <c r="B68" s="45" t="s">
        <v>461</v>
      </c>
      <c r="C68" s="475">
        <v>203200203</v>
      </c>
    </row>
    <row r="69" spans="1:3" x14ac:dyDescent="0.2">
      <c r="A69" s="21">
        <v>65</v>
      </c>
      <c r="B69" s="45" t="s">
        <v>464</v>
      </c>
      <c r="C69" s="72">
        <v>400</v>
      </c>
    </row>
    <row r="70" spans="1:3" x14ac:dyDescent="0.2">
      <c r="A70" s="21">
        <v>66</v>
      </c>
      <c r="B70" s="45" t="s">
        <v>465</v>
      </c>
      <c r="C70" s="72">
        <v>405</v>
      </c>
    </row>
    <row r="71" spans="1:3" x14ac:dyDescent="0.2">
      <c r="A71" s="21">
        <v>67</v>
      </c>
      <c r="B71" s="45" t="s">
        <v>466</v>
      </c>
      <c r="C71" s="72">
        <v>400</v>
      </c>
    </row>
    <row r="72" spans="1:3" x14ac:dyDescent="0.2">
      <c r="A72" s="21">
        <v>68</v>
      </c>
      <c r="B72" s="45" t="s">
        <v>467</v>
      </c>
      <c r="C72" s="475">
        <v>203200203</v>
      </c>
    </row>
    <row r="73" spans="1:3" x14ac:dyDescent="0.2">
      <c r="A73" s="21">
        <v>69</v>
      </c>
      <c r="B73" s="45" t="s">
        <v>469</v>
      </c>
      <c r="C73" s="72">
        <v>192</v>
      </c>
    </row>
    <row r="74" spans="1:3" x14ac:dyDescent="0.2">
      <c r="A74" s="21">
        <v>70</v>
      </c>
      <c r="B74" s="45" t="s">
        <v>470</v>
      </c>
      <c r="C74" s="475">
        <v>203200203</v>
      </c>
    </row>
    <row r="75" spans="1:3" x14ac:dyDescent="0.2">
      <c r="A75" s="21">
        <v>71</v>
      </c>
      <c r="B75" s="45" t="s">
        <v>475</v>
      </c>
      <c r="C75" s="72">
        <v>820</v>
      </c>
    </row>
    <row r="76" spans="1:3" x14ac:dyDescent="0.2">
      <c r="A76" s="21">
        <v>72</v>
      </c>
      <c r="B76" s="45" t="s">
        <v>476</v>
      </c>
      <c r="C76" s="72">
        <v>341</v>
      </c>
    </row>
    <row r="77" spans="1:3" x14ac:dyDescent="0.2">
      <c r="A77" s="21">
        <v>73</v>
      </c>
      <c r="B77" s="45" t="s">
        <v>477</v>
      </c>
      <c r="C77" s="72">
        <v>553</v>
      </c>
    </row>
    <row r="78" spans="1:3" x14ac:dyDescent="0.2">
      <c r="A78" s="21">
        <v>74</v>
      </c>
      <c r="B78" s="45" t="s">
        <v>478</v>
      </c>
      <c r="C78" s="475">
        <v>234231234</v>
      </c>
    </row>
    <row r="79" spans="1:3" x14ac:dyDescent="0.2">
      <c r="A79" s="21">
        <v>75</v>
      </c>
      <c r="B79" s="45" t="s">
        <v>482</v>
      </c>
      <c r="C79" s="72">
        <v>824</v>
      </c>
    </row>
    <row r="80" spans="1:3" x14ac:dyDescent="0.2">
      <c r="A80" s="21">
        <v>76</v>
      </c>
      <c r="B80" s="45" t="s">
        <v>483</v>
      </c>
      <c r="C80" s="72">
        <v>192</v>
      </c>
    </row>
    <row r="81" spans="1:3" x14ac:dyDescent="0.2">
      <c r="A81" s="21">
        <v>77</v>
      </c>
      <c r="B81" s="45" t="s">
        <v>484</v>
      </c>
      <c r="C81" s="72">
        <v>826</v>
      </c>
    </row>
    <row r="82" spans="1:3" x14ac:dyDescent="0.2">
      <c r="A82" s="21">
        <v>78</v>
      </c>
      <c r="B82" s="45" t="s">
        <v>485</v>
      </c>
      <c r="C82" s="72">
        <v>827</v>
      </c>
    </row>
    <row r="83" spans="1:3" x14ac:dyDescent="0.2">
      <c r="A83" s="21">
        <v>79</v>
      </c>
      <c r="B83" s="45" t="s">
        <v>486</v>
      </c>
      <c r="C83" s="475">
        <v>234231234231234</v>
      </c>
    </row>
    <row r="84" spans="1:3" x14ac:dyDescent="0.2">
      <c r="A84" s="21">
        <v>80</v>
      </c>
      <c r="B84" s="45" t="s">
        <v>490</v>
      </c>
      <c r="C84" s="512">
        <v>211208829</v>
      </c>
    </row>
    <row r="85" spans="1:3" x14ac:dyDescent="0.2">
      <c r="A85" s="21">
        <v>81</v>
      </c>
      <c r="B85" s="45" t="s">
        <v>493</v>
      </c>
      <c r="C85" s="72">
        <v>830</v>
      </c>
    </row>
    <row r="86" spans="1:3" x14ac:dyDescent="0.2">
      <c r="A86" s="21">
        <v>82</v>
      </c>
      <c r="B86" s="45" t="s">
        <v>494</v>
      </c>
      <c r="C86" s="72">
        <v>831</v>
      </c>
    </row>
    <row r="87" spans="1:3" x14ac:dyDescent="0.2">
      <c r="A87" s="21">
        <v>83</v>
      </c>
      <c r="B87" s="45" t="s">
        <v>495</v>
      </c>
      <c r="C87" s="72">
        <v>832</v>
      </c>
    </row>
    <row r="88" spans="1:3" x14ac:dyDescent="0.2">
      <c r="A88" s="21">
        <v>84</v>
      </c>
      <c r="B88" s="45" t="s">
        <v>496</v>
      </c>
      <c r="C88" s="72">
        <v>341</v>
      </c>
    </row>
    <row r="89" spans="1:3" x14ac:dyDescent="0.2">
      <c r="A89" s="21">
        <v>85</v>
      </c>
      <c r="B89" s="45" t="s">
        <v>497</v>
      </c>
      <c r="C89" s="72">
        <v>834</v>
      </c>
    </row>
    <row r="90" spans="1:3" x14ac:dyDescent="0.2">
      <c r="A90" s="21">
        <v>86</v>
      </c>
      <c r="B90" s="45" t="s">
        <v>499</v>
      </c>
      <c r="C90" s="475">
        <v>209206209</v>
      </c>
    </row>
    <row r="91" spans="1:3" x14ac:dyDescent="0.2">
      <c r="A91" s="21">
        <v>87</v>
      </c>
      <c r="B91" s="45" t="s">
        <v>502</v>
      </c>
      <c r="C91" s="475">
        <v>234231234</v>
      </c>
    </row>
    <row r="92" spans="1:3" x14ac:dyDescent="0.2">
      <c r="A92" s="21">
        <v>88</v>
      </c>
      <c r="B92" s="45" t="s">
        <v>504</v>
      </c>
      <c r="C92" s="72">
        <v>837</v>
      </c>
    </row>
    <row r="93" spans="1:3" x14ac:dyDescent="0.2">
      <c r="A93" s="21">
        <v>89</v>
      </c>
      <c r="B93" s="45" t="s">
        <v>505</v>
      </c>
      <c r="C93" s="72">
        <v>838</v>
      </c>
    </row>
    <row r="94" spans="1:3" x14ac:dyDescent="0.2">
      <c r="A94" s="21">
        <v>90</v>
      </c>
      <c r="B94" s="45" t="s">
        <v>506</v>
      </c>
      <c r="C94" s="72">
        <v>839</v>
      </c>
    </row>
    <row r="95" spans="1:3" x14ac:dyDescent="0.2">
      <c r="A95" s="21">
        <v>91</v>
      </c>
      <c r="B95" s="45" t="s">
        <v>507</v>
      </c>
      <c r="C95" s="72">
        <v>541</v>
      </c>
    </row>
    <row r="96" spans="1:3" x14ac:dyDescent="0.2">
      <c r="A96" s="21">
        <v>92</v>
      </c>
      <c r="B96" s="45" t="s">
        <v>508</v>
      </c>
      <c r="C96" s="72">
        <v>541</v>
      </c>
    </row>
    <row r="97" spans="1:3" x14ac:dyDescent="0.2">
      <c r="A97" s="21">
        <v>93</v>
      </c>
      <c r="B97" s="45" t="s">
        <v>509</v>
      </c>
      <c r="C97" s="72">
        <v>541</v>
      </c>
    </row>
    <row r="98" spans="1:3" x14ac:dyDescent="0.2">
      <c r="A98" s="21">
        <v>94</v>
      </c>
      <c r="B98" s="45" t="s">
        <v>510</v>
      </c>
      <c r="C98" s="72">
        <v>541</v>
      </c>
    </row>
    <row r="99" spans="1:3" x14ac:dyDescent="0.2">
      <c r="A99" s="21">
        <v>95</v>
      </c>
      <c r="B99" s="45" t="s">
        <v>511</v>
      </c>
      <c r="C99" s="72">
        <v>541</v>
      </c>
    </row>
    <row r="100" spans="1:3" x14ac:dyDescent="0.2">
      <c r="A100" s="21">
        <v>96</v>
      </c>
      <c r="B100" s="45" t="s">
        <v>512</v>
      </c>
      <c r="C100" s="72">
        <v>541</v>
      </c>
    </row>
    <row r="101" spans="1:3" x14ac:dyDescent="0.2">
      <c r="A101" s="21">
        <v>97</v>
      </c>
      <c r="B101" s="45" t="s">
        <v>513</v>
      </c>
      <c r="C101" s="72">
        <v>846</v>
      </c>
    </row>
    <row r="102" spans="1:3" x14ac:dyDescent="0.2">
      <c r="A102" s="21">
        <v>98</v>
      </c>
      <c r="B102" s="45" t="s">
        <v>514</v>
      </c>
      <c r="C102" s="72">
        <v>550</v>
      </c>
    </row>
    <row r="103" spans="1:3" x14ac:dyDescent="0.2">
      <c r="A103" s="21">
        <v>99</v>
      </c>
      <c r="B103" s="45" t="s">
        <v>515</v>
      </c>
      <c r="C103" s="72">
        <v>500</v>
      </c>
    </row>
    <row r="104" spans="1:3" x14ac:dyDescent="0.2">
      <c r="A104" s="21">
        <v>100</v>
      </c>
      <c r="B104" s="45" t="s">
        <v>516</v>
      </c>
      <c r="C104" s="475">
        <v>203200203</v>
      </c>
    </row>
    <row r="105" spans="1:3" x14ac:dyDescent="0.2">
      <c r="A105" s="21">
        <v>101</v>
      </c>
      <c r="B105" s="45" t="s">
        <v>519</v>
      </c>
      <c r="C105" s="72">
        <v>453</v>
      </c>
    </row>
    <row r="106" spans="1:3" x14ac:dyDescent="0.2">
      <c r="A106" s="21">
        <v>102</v>
      </c>
      <c r="B106" s="45" t="s">
        <v>520</v>
      </c>
      <c r="C106" s="72">
        <v>851</v>
      </c>
    </row>
    <row r="107" spans="1:3" x14ac:dyDescent="0.2">
      <c r="A107" s="21">
        <v>103</v>
      </c>
      <c r="B107" s="45" t="s">
        <v>523</v>
      </c>
      <c r="C107" s="72">
        <v>192</v>
      </c>
    </row>
    <row r="108" spans="1:3" x14ac:dyDescent="0.2">
      <c r="A108" s="21">
        <v>104</v>
      </c>
      <c r="B108" s="45" t="s">
        <v>524</v>
      </c>
      <c r="C108" s="72">
        <v>450</v>
      </c>
    </row>
    <row r="109" spans="1:3" x14ac:dyDescent="0.2">
      <c r="A109" s="21">
        <v>105</v>
      </c>
      <c r="B109" s="45" t="s">
        <v>525</v>
      </c>
      <c r="C109" s="475">
        <v>203200203</v>
      </c>
    </row>
    <row r="110" spans="1:3" x14ac:dyDescent="0.2">
      <c r="A110" s="21">
        <v>106</v>
      </c>
      <c r="B110" s="45" t="s">
        <v>529</v>
      </c>
      <c r="C110" s="72">
        <v>855</v>
      </c>
    </row>
    <row r="111" spans="1:3" x14ac:dyDescent="0.2">
      <c r="A111" s="21">
        <v>107</v>
      </c>
      <c r="B111" s="45" t="s">
        <v>530</v>
      </c>
      <c r="C111" s="475">
        <v>228225228</v>
      </c>
    </row>
    <row r="112" spans="1:3" x14ac:dyDescent="0.2">
      <c r="A112" s="21">
        <v>108</v>
      </c>
      <c r="B112" s="45" t="s">
        <v>533</v>
      </c>
      <c r="C112" s="496">
        <v>203200203200203</v>
      </c>
    </row>
    <row r="113" spans="1:3" x14ac:dyDescent="0.2">
      <c r="A113" s="21">
        <v>109</v>
      </c>
      <c r="B113" s="45" t="s">
        <v>535</v>
      </c>
      <c r="C113" s="72">
        <v>500</v>
      </c>
    </row>
    <row r="114" spans="1:3" x14ac:dyDescent="0.2">
      <c r="A114" s="21">
        <v>110</v>
      </c>
      <c r="B114" s="45" t="s">
        <v>536</v>
      </c>
      <c r="C114" s="72">
        <v>859</v>
      </c>
    </row>
    <row r="115" spans="1:3" x14ac:dyDescent="0.2">
      <c r="A115" s="21">
        <v>111</v>
      </c>
      <c r="B115" s="45" t="s">
        <v>537</v>
      </c>
      <c r="C115" s="496">
        <v>203200203200203</v>
      </c>
    </row>
    <row r="116" spans="1:3" x14ac:dyDescent="0.2">
      <c r="A116" s="21">
        <v>112</v>
      </c>
      <c r="B116" s="45" t="s">
        <v>540</v>
      </c>
      <c r="C116" s="72">
        <v>861</v>
      </c>
    </row>
    <row r="117" spans="1:3" x14ac:dyDescent="0.2">
      <c r="A117" s="21">
        <v>113</v>
      </c>
      <c r="B117" s="45" t="s">
        <v>541</v>
      </c>
      <c r="C117" s="72">
        <v>862</v>
      </c>
    </row>
    <row r="118" spans="1:3" x14ac:dyDescent="0.2">
      <c r="A118" s="21">
        <v>114</v>
      </c>
      <c r="B118" s="45" t="s">
        <v>542</v>
      </c>
      <c r="C118" s="72">
        <v>550</v>
      </c>
    </row>
    <row r="119" spans="1:3" x14ac:dyDescent="0.2">
      <c r="A119" s="21">
        <v>115</v>
      </c>
      <c r="B119" s="45" t="s">
        <v>543</v>
      </c>
      <c r="C119" s="475">
        <v>228225228225228</v>
      </c>
    </row>
    <row r="120" spans="1:3" x14ac:dyDescent="0.2">
      <c r="A120" s="21">
        <v>116</v>
      </c>
      <c r="B120" s="45" t="s">
        <v>546</v>
      </c>
      <c r="C120" s="72">
        <v>192</v>
      </c>
    </row>
    <row r="121" spans="1:3" x14ac:dyDescent="0.2">
      <c r="A121" s="21">
        <v>117</v>
      </c>
      <c r="B121" s="45" t="s">
        <v>547</v>
      </c>
      <c r="C121" s="72">
        <v>350</v>
      </c>
    </row>
    <row r="122" spans="1:3" x14ac:dyDescent="0.2">
      <c r="A122" s="21">
        <v>118</v>
      </c>
      <c r="B122" s="45" t="s">
        <v>548</v>
      </c>
      <c r="C122" s="72">
        <v>867</v>
      </c>
    </row>
    <row r="123" spans="1:3" x14ac:dyDescent="0.2">
      <c r="A123" s="21">
        <v>119</v>
      </c>
      <c r="B123" s="45" t="s">
        <v>549</v>
      </c>
      <c r="C123" s="72">
        <v>192</v>
      </c>
    </row>
    <row r="124" spans="1:3" x14ac:dyDescent="0.2">
      <c r="A124" s="21">
        <v>120</v>
      </c>
      <c r="B124" s="45" t="s">
        <v>550</v>
      </c>
      <c r="C124" s="72">
        <v>400</v>
      </c>
    </row>
    <row r="125" spans="1:3" x14ac:dyDescent="0.2">
      <c r="A125" s="21">
        <v>121</v>
      </c>
      <c r="B125" s="45" t="s">
        <v>551</v>
      </c>
      <c r="C125" s="72">
        <v>450</v>
      </c>
    </row>
    <row r="126" spans="1:3" x14ac:dyDescent="0.2">
      <c r="A126" s="21">
        <v>122</v>
      </c>
      <c r="B126" s="45" t="s">
        <v>552</v>
      </c>
      <c r="C126" s="72">
        <v>450</v>
      </c>
    </row>
    <row r="127" spans="1:3" x14ac:dyDescent="0.2">
      <c r="A127" s="21">
        <v>193</v>
      </c>
      <c r="B127" s="45" t="s">
        <v>691</v>
      </c>
      <c r="C127" s="72">
        <v>872</v>
      </c>
    </row>
    <row r="128" spans="1:3" x14ac:dyDescent="0.2">
      <c r="A128" s="21">
        <v>123</v>
      </c>
      <c r="B128" s="45" t="s">
        <v>553</v>
      </c>
      <c r="C128" s="72">
        <v>522</v>
      </c>
    </row>
    <row r="129" spans="1:3" x14ac:dyDescent="0.2">
      <c r="A129" s="21">
        <v>124</v>
      </c>
      <c r="B129" s="45" t="s">
        <v>554</v>
      </c>
      <c r="C129" s="475">
        <v>203200203200203</v>
      </c>
    </row>
    <row r="130" spans="1:3" x14ac:dyDescent="0.2">
      <c r="A130" s="21">
        <v>125</v>
      </c>
      <c r="B130" s="45" t="s">
        <v>558</v>
      </c>
      <c r="C130" s="72">
        <v>192</v>
      </c>
    </row>
    <row r="131" spans="1:3" x14ac:dyDescent="0.2">
      <c r="A131" s="21">
        <v>126</v>
      </c>
      <c r="B131" s="45" t="s">
        <v>559</v>
      </c>
      <c r="C131" s="72">
        <v>192</v>
      </c>
    </row>
    <row r="132" spans="1:3" x14ac:dyDescent="0.2">
      <c r="A132" s="21">
        <v>127</v>
      </c>
      <c r="B132" s="45" t="s">
        <v>560</v>
      </c>
      <c r="C132" s="72">
        <v>876</v>
      </c>
    </row>
    <row r="133" spans="1:3" x14ac:dyDescent="0.2">
      <c r="A133" s="21">
        <v>128</v>
      </c>
      <c r="B133" s="45" t="s">
        <v>561</v>
      </c>
      <c r="C133" s="72">
        <v>192</v>
      </c>
    </row>
    <row r="134" spans="1:3" x14ac:dyDescent="0.2">
      <c r="A134" s="21">
        <v>129</v>
      </c>
      <c r="B134" s="45" t="s">
        <v>562</v>
      </c>
      <c r="C134" s="72">
        <v>341</v>
      </c>
    </row>
    <row r="135" spans="1:3" x14ac:dyDescent="0.2">
      <c r="A135" s="21">
        <v>130</v>
      </c>
      <c r="B135" s="45" t="s">
        <v>563</v>
      </c>
      <c r="C135" s="72">
        <v>192</v>
      </c>
    </row>
    <row r="136" spans="1:3" x14ac:dyDescent="0.2">
      <c r="A136" s="21">
        <v>131</v>
      </c>
      <c r="B136" s="45" t="s">
        <v>564</v>
      </c>
      <c r="C136" s="72">
        <v>880</v>
      </c>
    </row>
    <row r="137" spans="1:3" x14ac:dyDescent="0.2">
      <c r="A137" s="21">
        <v>132</v>
      </c>
      <c r="B137" s="45" t="s">
        <v>565</v>
      </c>
      <c r="C137" s="72">
        <v>341</v>
      </c>
    </row>
    <row r="138" spans="1:3" x14ac:dyDescent="0.2">
      <c r="A138" s="21">
        <v>133</v>
      </c>
      <c r="B138" s="45" t="s">
        <v>566</v>
      </c>
      <c r="C138" s="72">
        <v>572</v>
      </c>
    </row>
    <row r="139" spans="1:3" x14ac:dyDescent="0.2">
      <c r="A139" s="21">
        <v>134</v>
      </c>
      <c r="B139" s="45" t="s">
        <v>567</v>
      </c>
      <c r="C139" s="72">
        <v>883</v>
      </c>
    </row>
    <row r="140" spans="1:3" x14ac:dyDescent="0.2">
      <c r="A140" s="21">
        <v>135</v>
      </c>
      <c r="B140" s="45" t="s">
        <v>568</v>
      </c>
      <c r="C140" s="72">
        <v>341</v>
      </c>
    </row>
    <row r="141" spans="1:3" x14ac:dyDescent="0.2">
      <c r="A141" s="21">
        <v>136</v>
      </c>
      <c r="B141" s="45" t="s">
        <v>569</v>
      </c>
      <c r="C141" s="475">
        <v>297294297</v>
      </c>
    </row>
    <row r="142" spans="1:3" x14ac:dyDescent="0.2">
      <c r="A142" s="21">
        <v>137</v>
      </c>
      <c r="B142" s="45" t="s">
        <v>570</v>
      </c>
      <c r="C142" s="72">
        <v>886</v>
      </c>
    </row>
    <row r="143" spans="1:3" x14ac:dyDescent="0.2">
      <c r="A143" s="21">
        <v>138</v>
      </c>
      <c r="B143" s="45" t="s">
        <v>571</v>
      </c>
      <c r="C143" s="72">
        <v>572</v>
      </c>
    </row>
    <row r="144" spans="1:3" x14ac:dyDescent="0.2">
      <c r="A144" s="21">
        <v>139</v>
      </c>
      <c r="B144" s="45" t="s">
        <v>572</v>
      </c>
      <c r="C144" s="72">
        <v>596</v>
      </c>
    </row>
    <row r="145" spans="1:3" x14ac:dyDescent="0.2">
      <c r="A145" s="21">
        <v>140</v>
      </c>
      <c r="B145" s="45" t="s">
        <v>573</v>
      </c>
      <c r="C145" s="72">
        <v>572</v>
      </c>
    </row>
    <row r="146" spans="1:3" x14ac:dyDescent="0.2">
      <c r="A146" s="21">
        <v>141</v>
      </c>
      <c r="B146" s="45" t="s">
        <v>574</v>
      </c>
      <c r="C146" s="72">
        <v>572</v>
      </c>
    </row>
    <row r="147" spans="1:3" x14ac:dyDescent="0.2">
      <c r="A147" s="21">
        <v>142</v>
      </c>
      <c r="B147" s="45" t="s">
        <v>575</v>
      </c>
      <c r="C147" s="72">
        <v>891</v>
      </c>
    </row>
    <row r="148" spans="1:3" x14ac:dyDescent="0.2">
      <c r="A148" s="21">
        <v>143</v>
      </c>
      <c r="B148" s="45" t="s">
        <v>576</v>
      </c>
      <c r="C148" s="72">
        <v>522</v>
      </c>
    </row>
    <row r="149" spans="1:3" x14ac:dyDescent="0.2">
      <c r="A149" s="21">
        <v>144</v>
      </c>
      <c r="B149" s="45" t="s">
        <v>577</v>
      </c>
      <c r="C149" s="475">
        <v>555</v>
      </c>
    </row>
    <row r="150" spans="1:3" x14ac:dyDescent="0.2">
      <c r="A150" s="21">
        <v>145</v>
      </c>
      <c r="B150" s="45" t="s">
        <v>580</v>
      </c>
      <c r="C150" s="72">
        <v>894</v>
      </c>
    </row>
    <row r="151" spans="1:3" x14ac:dyDescent="0.2">
      <c r="A151" s="21">
        <v>146</v>
      </c>
      <c r="B151" s="45" t="s">
        <v>582</v>
      </c>
      <c r="C151" s="72">
        <v>522</v>
      </c>
    </row>
    <row r="152" spans="1:3" x14ac:dyDescent="0.2">
      <c r="A152" s="21">
        <v>147</v>
      </c>
      <c r="B152" s="45" t="s">
        <v>583</v>
      </c>
      <c r="C152" s="475">
        <v>505</v>
      </c>
    </row>
    <row r="153" spans="1:3" x14ac:dyDescent="0.2">
      <c r="A153" s="21">
        <v>148</v>
      </c>
      <c r="B153" s="45" t="s">
        <v>584</v>
      </c>
      <c r="C153" s="72">
        <v>472</v>
      </c>
    </row>
    <row r="154" spans="1:3" x14ac:dyDescent="0.2">
      <c r="A154" s="21">
        <v>149</v>
      </c>
      <c r="B154" s="45" t="s">
        <v>585</v>
      </c>
      <c r="C154" s="72">
        <v>422</v>
      </c>
    </row>
    <row r="155" spans="1:3" x14ac:dyDescent="0.2">
      <c r="A155" s="21">
        <v>150</v>
      </c>
      <c r="B155" s="45" t="s">
        <v>586</v>
      </c>
      <c r="C155" s="72">
        <v>472</v>
      </c>
    </row>
    <row r="156" spans="1:3" x14ac:dyDescent="0.2">
      <c r="A156" s="21">
        <v>151</v>
      </c>
      <c r="B156" s="45" t="s">
        <v>587</v>
      </c>
      <c r="C156" s="72">
        <v>422</v>
      </c>
    </row>
    <row r="157" spans="1:3" x14ac:dyDescent="0.2">
      <c r="A157" s="21">
        <v>152</v>
      </c>
      <c r="B157" s="45" t="s">
        <v>588</v>
      </c>
      <c r="C157" s="72">
        <v>901</v>
      </c>
    </row>
    <row r="158" spans="1:3" x14ac:dyDescent="0.2">
      <c r="A158" s="21">
        <v>153</v>
      </c>
      <c r="B158" s="45" t="s">
        <v>589</v>
      </c>
      <c r="C158" s="72">
        <v>572</v>
      </c>
    </row>
    <row r="159" spans="1:3" x14ac:dyDescent="0.2">
      <c r="A159" s="21">
        <v>154</v>
      </c>
      <c r="B159" s="45" t="s">
        <v>590</v>
      </c>
      <c r="C159" s="72">
        <v>903</v>
      </c>
    </row>
    <row r="160" spans="1:3" x14ac:dyDescent="0.2">
      <c r="A160" s="21">
        <v>155</v>
      </c>
      <c r="B160" s="45" t="s">
        <v>591</v>
      </c>
      <c r="C160" s="475">
        <v>210207210</v>
      </c>
    </row>
    <row r="161" spans="1:3" x14ac:dyDescent="0.2">
      <c r="A161" s="21">
        <v>156</v>
      </c>
      <c r="B161" s="45" t="s">
        <v>592</v>
      </c>
      <c r="C161" s="72">
        <v>905</v>
      </c>
    </row>
    <row r="162" spans="1:3" x14ac:dyDescent="0.2">
      <c r="A162" s="21">
        <v>157</v>
      </c>
      <c r="B162" s="45" t="s">
        <v>593</v>
      </c>
      <c r="C162" s="72">
        <v>906</v>
      </c>
    </row>
    <row r="163" spans="1:3" x14ac:dyDescent="0.2">
      <c r="A163" s="21">
        <v>158</v>
      </c>
      <c r="B163" s="45" t="s">
        <v>594</v>
      </c>
      <c r="C163" s="72">
        <v>572</v>
      </c>
    </row>
    <row r="164" spans="1:3" x14ac:dyDescent="0.2">
      <c r="A164" s="21">
        <v>159</v>
      </c>
      <c r="B164" s="45" t="s">
        <v>595</v>
      </c>
      <c r="C164" s="72">
        <v>908</v>
      </c>
    </row>
    <row r="165" spans="1:3" x14ac:dyDescent="0.2">
      <c r="A165" s="21">
        <v>160</v>
      </c>
      <c r="B165" s="45" t="s">
        <v>596</v>
      </c>
      <c r="C165" s="72">
        <v>572</v>
      </c>
    </row>
    <row r="166" spans="1:3" x14ac:dyDescent="0.2">
      <c r="A166" s="21">
        <v>161</v>
      </c>
      <c r="B166" s="45" t="s">
        <v>597</v>
      </c>
      <c r="C166" s="72">
        <v>910</v>
      </c>
    </row>
    <row r="167" spans="1:3" x14ac:dyDescent="0.2">
      <c r="A167" s="21">
        <v>162</v>
      </c>
      <c r="B167" s="45" t="s">
        <v>598</v>
      </c>
      <c r="C167" s="72">
        <v>572</v>
      </c>
    </row>
    <row r="168" spans="1:3" x14ac:dyDescent="0.2">
      <c r="A168" s="21">
        <v>163</v>
      </c>
      <c r="B168" s="45" t="s">
        <v>599</v>
      </c>
      <c r="C168" s="72">
        <v>572</v>
      </c>
    </row>
    <row r="169" spans="1:3" x14ac:dyDescent="0.2">
      <c r="A169" s="21">
        <v>164</v>
      </c>
      <c r="B169" s="45" t="s">
        <v>600</v>
      </c>
      <c r="C169" s="72">
        <v>913</v>
      </c>
    </row>
    <row r="170" spans="1:3" x14ac:dyDescent="0.2">
      <c r="A170" s="21">
        <v>165</v>
      </c>
      <c r="B170" s="45" t="s">
        <v>601</v>
      </c>
      <c r="C170" s="72">
        <v>914</v>
      </c>
    </row>
    <row r="171" spans="1:3" x14ac:dyDescent="0.2">
      <c r="A171" s="21">
        <v>166</v>
      </c>
      <c r="B171" s="45" t="s">
        <v>602</v>
      </c>
      <c r="C171" s="72">
        <v>915</v>
      </c>
    </row>
    <row r="172" spans="1:3" x14ac:dyDescent="0.2">
      <c r="A172" s="21">
        <v>167</v>
      </c>
      <c r="B172" s="45" t="s">
        <v>603</v>
      </c>
      <c r="C172" s="72">
        <v>916</v>
      </c>
    </row>
    <row r="173" spans="1:3" x14ac:dyDescent="0.2">
      <c r="A173" s="21">
        <v>168</v>
      </c>
      <c r="B173" s="45" t="s">
        <v>604</v>
      </c>
      <c r="C173" s="72">
        <v>917</v>
      </c>
    </row>
    <row r="174" spans="1:3" x14ac:dyDescent="0.2">
      <c r="A174" s="21">
        <v>169</v>
      </c>
      <c r="B174" s="45" t="s">
        <v>605</v>
      </c>
      <c r="C174" s="72">
        <v>341</v>
      </c>
    </row>
    <row r="175" spans="1:3" x14ac:dyDescent="0.2">
      <c r="A175" s="21">
        <v>170</v>
      </c>
      <c r="B175" s="45" t="s">
        <v>606</v>
      </c>
      <c r="C175" s="72">
        <v>919</v>
      </c>
    </row>
    <row r="176" spans="1:3" x14ac:dyDescent="0.2">
      <c r="A176" s="21">
        <v>171</v>
      </c>
      <c r="B176" s="45" t="s">
        <v>607</v>
      </c>
      <c r="C176" s="72">
        <v>405</v>
      </c>
    </row>
    <row r="177" spans="1:3" x14ac:dyDescent="0.2">
      <c r="A177" s="21">
        <v>172</v>
      </c>
      <c r="B177" s="45" t="s">
        <v>608</v>
      </c>
      <c r="C177" s="72">
        <v>405</v>
      </c>
    </row>
    <row r="178" spans="1:3" x14ac:dyDescent="0.2">
      <c r="A178" s="21">
        <v>173</v>
      </c>
      <c r="B178" s="45" t="s">
        <v>609</v>
      </c>
      <c r="C178" s="72">
        <v>572</v>
      </c>
    </row>
    <row r="179" spans="1:3" x14ac:dyDescent="0.2">
      <c r="A179" s="21">
        <v>174</v>
      </c>
      <c r="B179" s="45" t="s">
        <v>610</v>
      </c>
      <c r="C179" s="72">
        <v>355</v>
      </c>
    </row>
    <row r="180" spans="1:3" x14ac:dyDescent="0.2">
      <c r="A180" s="21">
        <v>175</v>
      </c>
      <c r="B180" s="45" t="s">
        <v>611</v>
      </c>
      <c r="C180" s="72">
        <v>405</v>
      </c>
    </row>
    <row r="181" spans="1:3" x14ac:dyDescent="0.2">
      <c r="A181" s="21">
        <v>176</v>
      </c>
      <c r="B181" s="45" t="s">
        <v>612</v>
      </c>
      <c r="C181" s="72">
        <v>405</v>
      </c>
    </row>
    <row r="182" spans="1:3" x14ac:dyDescent="0.2">
      <c r="A182" s="21">
        <v>177</v>
      </c>
      <c r="B182" s="45" t="s">
        <v>613</v>
      </c>
      <c r="C182" s="72">
        <v>926</v>
      </c>
    </row>
    <row r="183" spans="1:3" x14ac:dyDescent="0.2">
      <c r="A183" s="21">
        <v>178</v>
      </c>
      <c r="B183" s="45" t="s">
        <v>616</v>
      </c>
      <c r="C183" s="72">
        <v>927</v>
      </c>
    </row>
    <row r="184" spans="1:3" x14ac:dyDescent="0.2">
      <c r="A184" s="21">
        <v>179</v>
      </c>
      <c r="B184" s="45" t="s">
        <v>617</v>
      </c>
      <c r="C184" s="512" t="s">
        <v>686</v>
      </c>
    </row>
    <row r="185" spans="1:3" x14ac:dyDescent="0.2">
      <c r="A185" s="21">
        <v>180</v>
      </c>
      <c r="B185" s="45" t="s">
        <v>620</v>
      </c>
      <c r="C185" s="72">
        <v>929</v>
      </c>
    </row>
    <row r="186" spans="1:3" x14ac:dyDescent="0.2">
      <c r="A186" s="21">
        <v>181</v>
      </c>
      <c r="B186" s="45" t="s">
        <v>621</v>
      </c>
      <c r="C186" s="72">
        <v>491</v>
      </c>
    </row>
    <row r="187" spans="1:3" x14ac:dyDescent="0.2">
      <c r="A187" s="21">
        <v>182</v>
      </c>
      <c r="B187" s="45" t="s">
        <v>622</v>
      </c>
      <c r="C187" s="72">
        <v>467</v>
      </c>
    </row>
    <row r="188" spans="1:3" x14ac:dyDescent="0.2">
      <c r="A188" s="21">
        <v>183</v>
      </c>
      <c r="B188" s="45" t="s">
        <v>623</v>
      </c>
      <c r="C188" s="72">
        <v>491</v>
      </c>
    </row>
    <row r="189" spans="1:3" x14ac:dyDescent="0.2">
      <c r="A189" s="21">
        <v>184</v>
      </c>
      <c r="B189" s="45" t="s">
        <v>624</v>
      </c>
      <c r="C189" s="72">
        <v>591</v>
      </c>
    </row>
    <row r="190" spans="1:3" x14ac:dyDescent="0.2">
      <c r="A190" s="21">
        <v>185</v>
      </c>
      <c r="B190" s="45" t="s">
        <v>627</v>
      </c>
      <c r="C190" s="72">
        <v>491</v>
      </c>
    </row>
    <row r="191" spans="1:3" x14ac:dyDescent="0.2">
      <c r="A191" s="21">
        <v>186</v>
      </c>
      <c r="B191" s="45" t="s">
        <v>628</v>
      </c>
      <c r="C191" s="72">
        <v>505</v>
      </c>
    </row>
    <row r="192" spans="1:3" x14ac:dyDescent="0.2">
      <c r="A192" s="21">
        <v>187</v>
      </c>
      <c r="B192" s="45" t="s">
        <v>629</v>
      </c>
      <c r="C192" s="72">
        <v>491</v>
      </c>
    </row>
    <row r="193" spans="1:3" x14ac:dyDescent="0.2">
      <c r="A193" s="21">
        <v>188</v>
      </c>
      <c r="B193" s="45" t="s">
        <v>630</v>
      </c>
      <c r="C193" s="72">
        <v>467</v>
      </c>
    </row>
    <row r="194" spans="1:3" x14ac:dyDescent="0.2">
      <c r="A194" s="21">
        <v>189</v>
      </c>
      <c r="B194" s="45" t="s">
        <v>631</v>
      </c>
      <c r="C194" s="72">
        <v>591</v>
      </c>
    </row>
    <row r="195" spans="1:3" x14ac:dyDescent="0.2">
      <c r="A195" s="21">
        <v>190</v>
      </c>
      <c r="B195" s="45" t="s">
        <v>633</v>
      </c>
      <c r="C195" s="72">
        <v>491</v>
      </c>
    </row>
    <row r="196" spans="1:3" x14ac:dyDescent="0.2">
      <c r="A196" s="21">
        <v>191</v>
      </c>
      <c r="B196" s="45" t="s">
        <v>634</v>
      </c>
      <c r="C196" s="72">
        <v>940</v>
      </c>
    </row>
    <row r="197" spans="1:3" x14ac:dyDescent="0.2">
      <c r="A197" s="21">
        <v>192</v>
      </c>
      <c r="B197" s="45" t="s">
        <v>635</v>
      </c>
      <c r="C197" s="72">
        <v>941</v>
      </c>
    </row>
    <row r="198" spans="1:3" ht="15.75" thickBot="1" x14ac:dyDescent="0.25">
      <c r="A198" s="21"/>
      <c r="B198" s="73"/>
      <c r="C198" s="79"/>
    </row>
  </sheetData>
  <mergeCells count="2">
    <mergeCell ref="B2:B3"/>
    <mergeCell ref="C2:C3"/>
  </mergeCells>
  <conditionalFormatting sqref="C10">
    <cfRule type="expression" dxfId="222" priority="13">
      <formula>$O10=1</formula>
    </cfRule>
  </conditionalFormatting>
  <conditionalFormatting sqref="C10">
    <cfRule type="cellIs" dxfId="221" priority="12" operator="equal">
      <formula>1</formula>
    </cfRule>
  </conditionalFormatting>
  <conditionalFormatting sqref="C84">
    <cfRule type="expression" dxfId="220" priority="11">
      <formula>$O84=1</formula>
    </cfRule>
  </conditionalFormatting>
  <conditionalFormatting sqref="C84">
    <cfRule type="cellIs" dxfId="219" priority="10" operator="equal">
      <formula>1</formula>
    </cfRule>
  </conditionalFormatting>
  <conditionalFormatting sqref="C112">
    <cfRule type="expression" dxfId="218" priority="7">
      <formula>$O112=1</formula>
    </cfRule>
  </conditionalFormatting>
  <conditionalFormatting sqref="C112">
    <cfRule type="cellIs" dxfId="217" priority="6" operator="equal">
      <formula>1</formula>
    </cfRule>
  </conditionalFormatting>
  <conditionalFormatting sqref="C115">
    <cfRule type="expression" dxfId="216" priority="5">
      <formula>$O115=1</formula>
    </cfRule>
  </conditionalFormatting>
  <conditionalFormatting sqref="C115">
    <cfRule type="cellIs" dxfId="215" priority="4" operator="equal">
      <formula>1</formula>
    </cfRule>
  </conditionalFormatting>
  <conditionalFormatting sqref="C184">
    <cfRule type="expression" dxfId="214" priority="3">
      <formula>$O184=1</formula>
    </cfRule>
  </conditionalFormatting>
  <conditionalFormatting sqref="C184">
    <cfRule type="cellIs" dxfId="213" priority="2" operator="equal">
      <formula>1</formula>
    </cfRule>
  </conditionalFormatting>
  <conditionalFormatting sqref="B127">
    <cfRule type="expression" dxfId="212" priority="1">
      <formula>$O127=1</formula>
    </cfRule>
  </conditionalFormatting>
  <printOptions gridLines="1" gridLinesSet="0"/>
  <pageMargins left="0.75" right="0.75" top="1" bottom="1" header="0.51181102300000003" footer="0.51181102300000003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7"/>
  <sheetViews>
    <sheetView workbookViewId="0"/>
  </sheetViews>
  <sheetFormatPr defaultColWidth="8.875" defaultRowHeight="15" x14ac:dyDescent="0.2"/>
  <cols>
    <col min="1" max="1" width="8.875" style="404"/>
    <col min="2" max="2" width="6.875" style="404" bestFit="1" customWidth="1"/>
    <col min="3" max="3" width="5.125" style="404" bestFit="1" customWidth="1"/>
    <col min="4" max="4" width="15" style="404" bestFit="1" customWidth="1"/>
    <col min="5" max="5" width="10.875" style="404" bestFit="1" customWidth="1"/>
    <col min="6" max="6" width="30.125" style="404" bestFit="1" customWidth="1"/>
    <col min="7" max="7" width="8.625" style="404" bestFit="1" customWidth="1"/>
    <col min="8" max="8" width="2.375" style="404" bestFit="1" customWidth="1"/>
    <col min="9" max="9" width="4.375" style="404" bestFit="1" customWidth="1"/>
    <col min="10" max="11" width="10.375" style="404" bestFit="1" customWidth="1"/>
    <col min="12" max="14" width="13.375" style="404" bestFit="1" customWidth="1"/>
    <col min="15" max="16" width="10.375" style="404" bestFit="1" customWidth="1"/>
    <col min="17" max="16384" width="8.875" style="404"/>
  </cols>
  <sheetData>
    <row r="2" spans="2:16" x14ac:dyDescent="0.2">
      <c r="B2" s="404" t="s">
        <v>320</v>
      </c>
      <c r="C2" s="404">
        <v>603</v>
      </c>
    </row>
    <row r="7" spans="2:16" x14ac:dyDescent="0.2">
      <c r="D7" s="404" t="s">
        <v>321</v>
      </c>
      <c r="E7" s="404" t="s">
        <v>322</v>
      </c>
      <c r="F7" s="404" t="s">
        <v>323</v>
      </c>
    </row>
    <row r="9" spans="2:16" x14ac:dyDescent="0.2">
      <c r="D9" s="404" t="s">
        <v>341</v>
      </c>
      <c r="E9" s="404">
        <v>8</v>
      </c>
      <c r="F9" s="404" t="s">
        <v>342</v>
      </c>
      <c r="G9" s="404" t="s">
        <v>326</v>
      </c>
      <c r="H9" s="404">
        <v>0</v>
      </c>
      <c r="I9" s="404" t="s">
        <v>343</v>
      </c>
      <c r="J9" s="404" t="s">
        <v>344</v>
      </c>
    </row>
    <row r="10" spans="2:16" x14ac:dyDescent="0.2">
      <c r="D10" s="404" t="s">
        <v>345</v>
      </c>
      <c r="E10" s="404">
        <v>8</v>
      </c>
      <c r="F10" s="404" t="s">
        <v>346</v>
      </c>
      <c r="G10" s="404" t="s">
        <v>326</v>
      </c>
      <c r="H10" s="404">
        <v>0</v>
      </c>
    </row>
    <row r="11" spans="2:16" x14ac:dyDescent="0.2">
      <c r="D11" s="404" t="s">
        <v>347</v>
      </c>
      <c r="E11" s="404">
        <v>8</v>
      </c>
      <c r="F11" s="404" t="s">
        <v>348</v>
      </c>
      <c r="G11" s="404" t="s">
        <v>326</v>
      </c>
      <c r="H11" s="404">
        <v>0</v>
      </c>
    </row>
    <row r="12" spans="2:16" x14ac:dyDescent="0.2">
      <c r="D12" s="404" t="s">
        <v>349</v>
      </c>
      <c r="E12" s="404">
        <v>8</v>
      </c>
      <c r="F12" s="404" t="s">
        <v>350</v>
      </c>
      <c r="G12" s="404" t="s">
        <v>326</v>
      </c>
      <c r="H12" s="404">
        <v>0</v>
      </c>
    </row>
    <row r="13" spans="2:16" x14ac:dyDescent="0.2">
      <c r="D13" s="404" t="s">
        <v>351</v>
      </c>
      <c r="E13" s="404">
        <v>8</v>
      </c>
      <c r="F13" s="404" t="s">
        <v>352</v>
      </c>
      <c r="G13" s="404" t="s">
        <v>326</v>
      </c>
      <c r="H13" s="404">
        <v>0</v>
      </c>
    </row>
    <row r="14" spans="2:16" x14ac:dyDescent="0.2">
      <c r="D14" s="404" t="s">
        <v>353</v>
      </c>
      <c r="E14" s="404">
        <v>8</v>
      </c>
      <c r="F14" s="404" t="s">
        <v>354</v>
      </c>
      <c r="G14" s="404" t="s">
        <v>326</v>
      </c>
      <c r="H14" s="404">
        <v>0</v>
      </c>
    </row>
    <row r="15" spans="2:16" x14ac:dyDescent="0.2">
      <c r="D15" s="404" t="s">
        <v>324</v>
      </c>
      <c r="E15" s="404">
        <v>8</v>
      </c>
      <c r="F15" s="404" t="s">
        <v>355</v>
      </c>
      <c r="G15" s="404" t="s">
        <v>326</v>
      </c>
      <c r="H15" s="404">
        <v>0</v>
      </c>
    </row>
    <row r="16" spans="2:16" x14ac:dyDescent="0.2">
      <c r="D16" s="404" t="s">
        <v>334</v>
      </c>
      <c r="E16" s="404">
        <v>8</v>
      </c>
      <c r="F16" s="404" t="s">
        <v>325</v>
      </c>
      <c r="G16" s="404" t="s">
        <v>326</v>
      </c>
      <c r="H16" s="404">
        <v>0</v>
      </c>
      <c r="I16" s="404">
        <v>97</v>
      </c>
      <c r="J16" s="404" t="s">
        <v>327</v>
      </c>
      <c r="K16" s="404" t="s">
        <v>328</v>
      </c>
      <c r="L16" s="404" t="s">
        <v>329</v>
      </c>
      <c r="M16" s="404" t="s">
        <v>330</v>
      </c>
      <c r="N16" s="404" t="s">
        <v>331</v>
      </c>
      <c r="O16" s="404" t="s">
        <v>332</v>
      </c>
      <c r="P16" s="404" t="s">
        <v>333</v>
      </c>
    </row>
    <row r="17" spans="4:6" x14ac:dyDescent="0.2">
      <c r="D17" s="404" t="s">
        <v>356</v>
      </c>
      <c r="E17" s="404">
        <v>8</v>
      </c>
      <c r="F17" s="404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2"/>
  <sheetViews>
    <sheetView workbookViewId="0"/>
  </sheetViews>
  <sheetFormatPr defaultColWidth="8.875" defaultRowHeight="15" x14ac:dyDescent="0.2"/>
  <cols>
    <col min="1" max="1" width="8.875" style="404"/>
    <col min="2" max="2" width="6.875" style="404" bestFit="1" customWidth="1"/>
    <col min="3" max="3" width="5.125" style="404" bestFit="1" customWidth="1"/>
    <col min="4" max="4" width="16" style="404" bestFit="1" customWidth="1"/>
    <col min="5" max="5" width="10.875" style="404" bestFit="1" customWidth="1"/>
    <col min="6" max="6" width="30.125" style="404" bestFit="1" customWidth="1"/>
    <col min="7" max="8" width="8.625" style="404" bestFit="1" customWidth="1"/>
    <col min="9" max="9" width="5.625" style="404" bestFit="1" customWidth="1"/>
    <col min="10" max="10" width="9.375" style="404" bestFit="1" customWidth="1"/>
    <col min="11" max="11" width="21.375" style="404" bestFit="1" customWidth="1"/>
    <col min="12" max="14" width="13.375" style="404" bestFit="1" customWidth="1"/>
    <col min="15" max="16" width="10.375" style="404" bestFit="1" customWidth="1"/>
    <col min="17" max="16384" width="8.875" style="404"/>
  </cols>
  <sheetData>
    <row r="2" spans="2:16" x14ac:dyDescent="0.2">
      <c r="B2" s="404" t="s">
        <v>320</v>
      </c>
      <c r="C2" s="404">
        <v>604</v>
      </c>
    </row>
    <row r="7" spans="2:16" x14ac:dyDescent="0.2">
      <c r="D7" s="404" t="s">
        <v>321</v>
      </c>
      <c r="E7" s="404" t="s">
        <v>322</v>
      </c>
      <c r="F7" s="404" t="s">
        <v>323</v>
      </c>
    </row>
    <row r="9" spans="2:16" x14ac:dyDescent="0.2">
      <c r="D9" s="404" t="s">
        <v>324</v>
      </c>
      <c r="E9" s="404">
        <v>56</v>
      </c>
      <c r="F9" s="404" t="s">
        <v>325</v>
      </c>
      <c r="G9" s="404" t="s">
        <v>326</v>
      </c>
      <c r="H9" s="404">
        <v>0</v>
      </c>
      <c r="I9" s="404">
        <v>225</v>
      </c>
      <c r="J9" s="404" t="s">
        <v>327</v>
      </c>
      <c r="K9" s="404" t="s">
        <v>328</v>
      </c>
      <c r="L9" s="404" t="s">
        <v>329</v>
      </c>
      <c r="M9" s="404" t="s">
        <v>330</v>
      </c>
      <c r="N9" s="404" t="s">
        <v>331</v>
      </c>
      <c r="O9" s="404" t="s">
        <v>332</v>
      </c>
      <c r="P9" s="404" t="s">
        <v>333</v>
      </c>
    </row>
    <row r="10" spans="2:16" x14ac:dyDescent="0.2">
      <c r="D10" s="404" t="s">
        <v>334</v>
      </c>
      <c r="E10" s="404">
        <v>8</v>
      </c>
      <c r="F10" s="404" t="s">
        <v>335</v>
      </c>
      <c r="G10" s="404">
        <v>0</v>
      </c>
      <c r="H10" s="404" t="s">
        <v>326</v>
      </c>
      <c r="I10" s="404" t="s">
        <v>336</v>
      </c>
      <c r="J10" s="404">
        <v>0</v>
      </c>
      <c r="K10" s="404" t="s">
        <v>337</v>
      </c>
      <c r="L10" s="404">
        <v>53</v>
      </c>
      <c r="M10" s="404">
        <v>1</v>
      </c>
    </row>
    <row r="11" spans="2:16" x14ac:dyDescent="0.2">
      <c r="D11" s="404" t="s">
        <v>338</v>
      </c>
      <c r="E11" s="404">
        <v>8</v>
      </c>
      <c r="F11" s="404" t="s">
        <v>335</v>
      </c>
      <c r="G11" s="404">
        <v>0</v>
      </c>
      <c r="H11" s="404" t="s">
        <v>326</v>
      </c>
      <c r="I11" s="404" t="s">
        <v>336</v>
      </c>
      <c r="J11" s="404">
        <v>0</v>
      </c>
      <c r="K11" s="404" t="s">
        <v>337</v>
      </c>
      <c r="L11" s="404">
        <v>605</v>
      </c>
      <c r="M11" s="404">
        <v>1</v>
      </c>
    </row>
    <row r="12" spans="2:16" x14ac:dyDescent="0.2">
      <c r="D12" s="404" t="s">
        <v>339</v>
      </c>
      <c r="E12" s="404">
        <v>9676800</v>
      </c>
      <c r="F12" s="404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7"/>
  <sheetViews>
    <sheetView workbookViewId="0"/>
  </sheetViews>
  <sheetFormatPr defaultColWidth="8.875" defaultRowHeight="15" x14ac:dyDescent="0.2"/>
  <cols>
    <col min="1" max="1" width="8.875" style="404"/>
    <col min="2" max="2" width="6.875" style="404" bestFit="1" customWidth="1"/>
    <col min="3" max="3" width="5.125" style="404" bestFit="1" customWidth="1"/>
    <col min="4" max="4" width="15" style="404" bestFit="1" customWidth="1"/>
    <col min="5" max="5" width="10.875" style="404" bestFit="1" customWidth="1"/>
    <col min="6" max="6" width="30.125" style="404" bestFit="1" customWidth="1"/>
    <col min="7" max="7" width="8.625" style="404" bestFit="1" customWidth="1"/>
    <col min="8" max="8" width="2.375" style="404" bestFit="1" customWidth="1"/>
    <col min="9" max="9" width="5.125" style="404" bestFit="1" customWidth="1"/>
    <col min="10" max="11" width="10.375" style="404" bestFit="1" customWidth="1"/>
    <col min="12" max="14" width="13.375" style="404" bestFit="1" customWidth="1"/>
    <col min="15" max="16" width="10.375" style="404" bestFit="1" customWidth="1"/>
    <col min="17" max="16384" width="8.875" style="404"/>
  </cols>
  <sheetData>
    <row r="2" spans="2:16" x14ac:dyDescent="0.2">
      <c r="B2" s="404" t="s">
        <v>320</v>
      </c>
      <c r="C2" s="404">
        <v>605</v>
      </c>
    </row>
    <row r="7" spans="2:16" x14ac:dyDescent="0.2">
      <c r="D7" s="404" t="s">
        <v>321</v>
      </c>
      <c r="E7" s="404" t="s">
        <v>322</v>
      </c>
      <c r="F7" s="404" t="s">
        <v>323</v>
      </c>
    </row>
    <row r="9" spans="2:16" x14ac:dyDescent="0.2">
      <c r="D9" s="404" t="s">
        <v>341</v>
      </c>
      <c r="E9" s="404">
        <v>8</v>
      </c>
      <c r="F9" s="404" t="s">
        <v>342</v>
      </c>
      <c r="G9" s="404" t="s">
        <v>326</v>
      </c>
      <c r="H9" s="404">
        <v>0</v>
      </c>
      <c r="I9" s="404" t="s">
        <v>343</v>
      </c>
      <c r="J9" s="404" t="s">
        <v>344</v>
      </c>
    </row>
    <row r="10" spans="2:16" x14ac:dyDescent="0.2">
      <c r="D10" s="404" t="s">
        <v>345</v>
      </c>
      <c r="E10" s="404">
        <v>8</v>
      </c>
      <c r="F10" s="404" t="s">
        <v>346</v>
      </c>
      <c r="G10" s="404" t="s">
        <v>326</v>
      </c>
      <c r="H10" s="404">
        <v>0</v>
      </c>
    </row>
    <row r="11" spans="2:16" x14ac:dyDescent="0.2">
      <c r="D11" s="404" t="s">
        <v>347</v>
      </c>
      <c r="E11" s="404">
        <v>8</v>
      </c>
      <c r="F11" s="404" t="s">
        <v>348</v>
      </c>
      <c r="G11" s="404" t="s">
        <v>326</v>
      </c>
      <c r="H11" s="404">
        <v>0</v>
      </c>
    </row>
    <row r="12" spans="2:16" x14ac:dyDescent="0.2">
      <c r="D12" s="404" t="s">
        <v>349</v>
      </c>
      <c r="E12" s="404">
        <v>8</v>
      </c>
      <c r="F12" s="404" t="s">
        <v>350</v>
      </c>
      <c r="G12" s="404" t="s">
        <v>326</v>
      </c>
      <c r="H12" s="404">
        <v>0</v>
      </c>
    </row>
    <row r="13" spans="2:16" x14ac:dyDescent="0.2">
      <c r="D13" s="404" t="s">
        <v>351</v>
      </c>
      <c r="E13" s="404">
        <v>8</v>
      </c>
      <c r="F13" s="404" t="s">
        <v>352</v>
      </c>
      <c r="G13" s="404" t="s">
        <v>326</v>
      </c>
      <c r="H13" s="404">
        <v>0</v>
      </c>
    </row>
    <row r="14" spans="2:16" x14ac:dyDescent="0.2">
      <c r="D14" s="404" t="s">
        <v>353</v>
      </c>
      <c r="E14" s="404">
        <v>8</v>
      </c>
      <c r="F14" s="404" t="s">
        <v>354</v>
      </c>
      <c r="G14" s="404" t="s">
        <v>326</v>
      </c>
      <c r="H14" s="404">
        <v>0</v>
      </c>
    </row>
    <row r="15" spans="2:16" x14ac:dyDescent="0.2">
      <c r="D15" s="404" t="s">
        <v>324</v>
      </c>
      <c r="E15" s="404">
        <v>8</v>
      </c>
      <c r="F15" s="404" t="s">
        <v>355</v>
      </c>
      <c r="G15" s="404" t="s">
        <v>326</v>
      </c>
      <c r="H15" s="404">
        <v>0</v>
      </c>
    </row>
    <row r="16" spans="2:16" x14ac:dyDescent="0.2">
      <c r="D16" s="404" t="s">
        <v>334</v>
      </c>
      <c r="E16" s="404">
        <v>8</v>
      </c>
      <c r="F16" s="404" t="s">
        <v>325</v>
      </c>
      <c r="G16" s="404" t="s">
        <v>326</v>
      </c>
      <c r="H16" s="404">
        <v>0</v>
      </c>
      <c r="I16" s="404">
        <v>225</v>
      </c>
      <c r="J16" s="404" t="s">
        <v>327</v>
      </c>
      <c r="K16" s="404" t="s">
        <v>328</v>
      </c>
      <c r="L16" s="404" t="s">
        <v>329</v>
      </c>
      <c r="M16" s="404" t="s">
        <v>330</v>
      </c>
      <c r="N16" s="404" t="s">
        <v>331</v>
      </c>
      <c r="O16" s="404" t="s">
        <v>332</v>
      </c>
      <c r="P16" s="404" t="s">
        <v>333</v>
      </c>
    </row>
    <row r="17" spans="4:6" x14ac:dyDescent="0.2">
      <c r="D17" s="404" t="s">
        <v>356</v>
      </c>
      <c r="E17" s="404">
        <v>8</v>
      </c>
      <c r="F17" s="404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2"/>
  <sheetViews>
    <sheetView workbookViewId="0"/>
  </sheetViews>
  <sheetFormatPr defaultColWidth="8.875" defaultRowHeight="15" x14ac:dyDescent="0.2"/>
  <cols>
    <col min="1" max="1" width="8.875" style="404"/>
    <col min="2" max="2" width="6.875" style="404" bestFit="1" customWidth="1"/>
    <col min="3" max="3" width="5.125" style="404" bestFit="1" customWidth="1"/>
    <col min="4" max="4" width="16" style="404" bestFit="1" customWidth="1"/>
    <col min="5" max="5" width="10.875" style="404" bestFit="1" customWidth="1"/>
    <col min="6" max="6" width="30.125" style="404" bestFit="1" customWidth="1"/>
    <col min="7" max="8" width="8.625" style="404" bestFit="1" customWidth="1"/>
    <col min="9" max="9" width="5.625" style="404" bestFit="1" customWidth="1"/>
    <col min="10" max="10" width="9.375" style="404" bestFit="1" customWidth="1"/>
    <col min="11" max="11" width="21.375" style="404" bestFit="1" customWidth="1"/>
    <col min="12" max="14" width="13.375" style="404" bestFit="1" customWidth="1"/>
    <col min="15" max="16" width="10.375" style="404" bestFit="1" customWidth="1"/>
    <col min="17" max="16384" width="8.875" style="404"/>
  </cols>
  <sheetData>
    <row r="2" spans="2:16" x14ac:dyDescent="0.2">
      <c r="B2" s="404" t="s">
        <v>320</v>
      </c>
      <c r="C2" s="404">
        <v>606</v>
      </c>
    </row>
    <row r="7" spans="2:16" x14ac:dyDescent="0.2">
      <c r="D7" s="404" t="s">
        <v>321</v>
      </c>
      <c r="E7" s="404" t="s">
        <v>322</v>
      </c>
      <c r="F7" s="404" t="s">
        <v>323</v>
      </c>
    </row>
    <row r="9" spans="2:16" x14ac:dyDescent="0.2">
      <c r="D9" s="404" t="s">
        <v>324</v>
      </c>
      <c r="E9" s="404">
        <v>56</v>
      </c>
      <c r="F9" s="404" t="s">
        <v>325</v>
      </c>
      <c r="G9" s="404" t="s">
        <v>326</v>
      </c>
      <c r="H9" s="404">
        <v>0</v>
      </c>
      <c r="I9" s="404">
        <v>401</v>
      </c>
      <c r="J9" s="404" t="s">
        <v>327</v>
      </c>
      <c r="K9" s="404" t="s">
        <v>328</v>
      </c>
      <c r="L9" s="404" t="s">
        <v>329</v>
      </c>
      <c r="M9" s="404" t="s">
        <v>330</v>
      </c>
      <c r="N9" s="404" t="s">
        <v>331</v>
      </c>
      <c r="O9" s="404" t="s">
        <v>332</v>
      </c>
      <c r="P9" s="404" t="s">
        <v>333</v>
      </c>
    </row>
    <row r="10" spans="2:16" x14ac:dyDescent="0.2">
      <c r="D10" s="404" t="s">
        <v>334</v>
      </c>
      <c r="E10" s="404">
        <v>8</v>
      </c>
      <c r="F10" s="404" t="s">
        <v>335</v>
      </c>
      <c r="G10" s="404">
        <v>0</v>
      </c>
      <c r="H10" s="404" t="s">
        <v>326</v>
      </c>
      <c r="I10" s="404" t="s">
        <v>336</v>
      </c>
      <c r="J10" s="404">
        <v>0</v>
      </c>
      <c r="K10" s="404" t="s">
        <v>337</v>
      </c>
      <c r="L10" s="404">
        <v>53</v>
      </c>
      <c r="M10" s="404">
        <v>1</v>
      </c>
    </row>
    <row r="11" spans="2:16" x14ac:dyDescent="0.2">
      <c r="D11" s="404" t="s">
        <v>338</v>
      </c>
      <c r="E11" s="404">
        <v>8</v>
      </c>
      <c r="F11" s="404" t="s">
        <v>335</v>
      </c>
      <c r="G11" s="404">
        <v>0</v>
      </c>
      <c r="H11" s="404" t="s">
        <v>326</v>
      </c>
      <c r="I11" s="404" t="s">
        <v>336</v>
      </c>
      <c r="J11" s="404">
        <v>0</v>
      </c>
      <c r="K11" s="404" t="s">
        <v>337</v>
      </c>
      <c r="L11" s="404">
        <v>607</v>
      </c>
      <c r="M11" s="404">
        <v>1</v>
      </c>
    </row>
    <row r="12" spans="2:16" x14ac:dyDescent="0.2">
      <c r="D12" s="404" t="s">
        <v>339</v>
      </c>
      <c r="E12" s="404">
        <v>9676800</v>
      </c>
      <c r="F12" s="404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7"/>
  <sheetViews>
    <sheetView workbookViewId="0"/>
  </sheetViews>
  <sheetFormatPr defaultColWidth="8.875" defaultRowHeight="15" x14ac:dyDescent="0.2"/>
  <cols>
    <col min="1" max="1" width="8.875" style="404"/>
    <col min="2" max="2" width="6.875" style="404" bestFit="1" customWidth="1"/>
    <col min="3" max="3" width="5.125" style="404" bestFit="1" customWidth="1"/>
    <col min="4" max="4" width="15" style="404" bestFit="1" customWidth="1"/>
    <col min="5" max="5" width="10.875" style="404" bestFit="1" customWidth="1"/>
    <col min="6" max="6" width="30.125" style="404" bestFit="1" customWidth="1"/>
    <col min="7" max="7" width="8.625" style="404" bestFit="1" customWidth="1"/>
    <col min="8" max="8" width="2.375" style="404" bestFit="1" customWidth="1"/>
    <col min="9" max="9" width="5.125" style="404" bestFit="1" customWidth="1"/>
    <col min="10" max="11" width="10.375" style="404" bestFit="1" customWidth="1"/>
    <col min="12" max="14" width="13.375" style="404" bestFit="1" customWidth="1"/>
    <col min="15" max="16" width="10.375" style="404" bestFit="1" customWidth="1"/>
    <col min="17" max="16384" width="8.875" style="404"/>
  </cols>
  <sheetData>
    <row r="2" spans="2:16" x14ac:dyDescent="0.2">
      <c r="B2" s="404" t="s">
        <v>320</v>
      </c>
      <c r="C2" s="404">
        <v>607</v>
      </c>
    </row>
    <row r="7" spans="2:16" x14ac:dyDescent="0.2">
      <c r="D7" s="404" t="s">
        <v>321</v>
      </c>
      <c r="E7" s="404" t="s">
        <v>322</v>
      </c>
      <c r="F7" s="404" t="s">
        <v>323</v>
      </c>
    </row>
    <row r="9" spans="2:16" x14ac:dyDescent="0.2">
      <c r="D9" s="404" t="s">
        <v>341</v>
      </c>
      <c r="E9" s="404">
        <v>8</v>
      </c>
      <c r="F9" s="404" t="s">
        <v>342</v>
      </c>
      <c r="G9" s="404" t="s">
        <v>326</v>
      </c>
      <c r="H9" s="404">
        <v>0</v>
      </c>
      <c r="I9" s="404" t="s">
        <v>343</v>
      </c>
      <c r="J9" s="404" t="s">
        <v>344</v>
      </c>
    </row>
    <row r="10" spans="2:16" x14ac:dyDescent="0.2">
      <c r="D10" s="404" t="s">
        <v>345</v>
      </c>
      <c r="E10" s="404">
        <v>8</v>
      </c>
      <c r="F10" s="404" t="s">
        <v>346</v>
      </c>
      <c r="G10" s="404" t="s">
        <v>326</v>
      </c>
      <c r="H10" s="404">
        <v>0</v>
      </c>
    </row>
    <row r="11" spans="2:16" x14ac:dyDescent="0.2">
      <c r="D11" s="404" t="s">
        <v>347</v>
      </c>
      <c r="E11" s="404">
        <v>8</v>
      </c>
      <c r="F11" s="404" t="s">
        <v>348</v>
      </c>
      <c r="G11" s="404" t="s">
        <v>326</v>
      </c>
      <c r="H11" s="404">
        <v>0</v>
      </c>
    </row>
    <row r="12" spans="2:16" x14ac:dyDescent="0.2">
      <c r="D12" s="404" t="s">
        <v>349</v>
      </c>
      <c r="E12" s="404">
        <v>8</v>
      </c>
      <c r="F12" s="404" t="s">
        <v>350</v>
      </c>
      <c r="G12" s="404" t="s">
        <v>326</v>
      </c>
      <c r="H12" s="404">
        <v>0</v>
      </c>
    </row>
    <row r="13" spans="2:16" x14ac:dyDescent="0.2">
      <c r="D13" s="404" t="s">
        <v>351</v>
      </c>
      <c r="E13" s="404">
        <v>8</v>
      </c>
      <c r="F13" s="404" t="s">
        <v>352</v>
      </c>
      <c r="G13" s="404" t="s">
        <v>326</v>
      </c>
      <c r="H13" s="404">
        <v>0</v>
      </c>
    </row>
    <row r="14" spans="2:16" x14ac:dyDescent="0.2">
      <c r="D14" s="404" t="s">
        <v>353</v>
      </c>
      <c r="E14" s="404">
        <v>8</v>
      </c>
      <c r="F14" s="404" t="s">
        <v>354</v>
      </c>
      <c r="G14" s="404" t="s">
        <v>326</v>
      </c>
      <c r="H14" s="404">
        <v>0</v>
      </c>
    </row>
    <row r="15" spans="2:16" x14ac:dyDescent="0.2">
      <c r="D15" s="404" t="s">
        <v>324</v>
      </c>
      <c r="E15" s="404">
        <v>8</v>
      </c>
      <c r="F15" s="404" t="s">
        <v>355</v>
      </c>
      <c r="G15" s="404" t="s">
        <v>326</v>
      </c>
      <c r="H15" s="404">
        <v>0</v>
      </c>
    </row>
    <row r="16" spans="2:16" x14ac:dyDescent="0.2">
      <c r="D16" s="404" t="s">
        <v>334</v>
      </c>
      <c r="E16" s="404">
        <v>8</v>
      </c>
      <c r="F16" s="404" t="s">
        <v>325</v>
      </c>
      <c r="G16" s="404" t="s">
        <v>326</v>
      </c>
      <c r="H16" s="404">
        <v>0</v>
      </c>
      <c r="I16" s="404">
        <v>401</v>
      </c>
      <c r="J16" s="404" t="s">
        <v>327</v>
      </c>
      <c r="K16" s="404" t="s">
        <v>328</v>
      </c>
      <c r="L16" s="404" t="s">
        <v>329</v>
      </c>
      <c r="M16" s="404" t="s">
        <v>330</v>
      </c>
      <c r="N16" s="404" t="s">
        <v>331</v>
      </c>
      <c r="O16" s="404" t="s">
        <v>332</v>
      </c>
      <c r="P16" s="404" t="s">
        <v>333</v>
      </c>
    </row>
    <row r="17" spans="4:6" x14ac:dyDescent="0.2">
      <c r="D17" s="404" t="s">
        <v>356</v>
      </c>
      <c r="E17" s="404">
        <v>8</v>
      </c>
      <c r="F17" s="404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7" width="7.625" style="568" bestFit="1" customWidth="1"/>
    <col min="8" max="8" width="2.25" style="568" bestFit="1" customWidth="1"/>
    <col min="9" max="9" width="4.375" style="568" bestFit="1" customWidth="1"/>
    <col min="10" max="10" width="8.375" style="568" bestFit="1" customWidth="1"/>
    <col min="11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3" width="7.625" style="568" bestFit="1" customWidth="1"/>
    <col min="264" max="264" width="2.25" style="568" bestFit="1" customWidth="1"/>
    <col min="265" max="265" width="4.375" style="568" bestFit="1" customWidth="1"/>
    <col min="266" max="266" width="8.375" style="568" bestFit="1" customWidth="1"/>
    <col min="267" max="269" width="8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19" width="7.625" style="568" bestFit="1" customWidth="1"/>
    <col min="520" max="520" width="2.25" style="568" bestFit="1" customWidth="1"/>
    <col min="521" max="521" width="4.375" style="568" bestFit="1" customWidth="1"/>
    <col min="522" max="522" width="8.375" style="568" bestFit="1" customWidth="1"/>
    <col min="523" max="525" width="8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5" width="7.625" style="568" bestFit="1" customWidth="1"/>
    <col min="776" max="776" width="2.25" style="568" bestFit="1" customWidth="1"/>
    <col min="777" max="777" width="4.375" style="568" bestFit="1" customWidth="1"/>
    <col min="778" max="778" width="8.375" style="568" bestFit="1" customWidth="1"/>
    <col min="779" max="781" width="8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1" width="7.625" style="568" bestFit="1" customWidth="1"/>
    <col min="1032" max="1032" width="2.25" style="568" bestFit="1" customWidth="1"/>
    <col min="1033" max="1033" width="4.375" style="568" bestFit="1" customWidth="1"/>
    <col min="1034" max="1034" width="8.375" style="568" bestFit="1" customWidth="1"/>
    <col min="1035" max="1037" width="8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7" width="7.625" style="568" bestFit="1" customWidth="1"/>
    <col min="1288" max="1288" width="2.25" style="568" bestFit="1" customWidth="1"/>
    <col min="1289" max="1289" width="4.375" style="568" bestFit="1" customWidth="1"/>
    <col min="1290" max="1290" width="8.375" style="568" bestFit="1" customWidth="1"/>
    <col min="1291" max="1293" width="8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3" width="7.625" style="568" bestFit="1" customWidth="1"/>
    <col min="1544" max="1544" width="2.25" style="568" bestFit="1" customWidth="1"/>
    <col min="1545" max="1545" width="4.375" style="568" bestFit="1" customWidth="1"/>
    <col min="1546" max="1546" width="8.375" style="568" bestFit="1" customWidth="1"/>
    <col min="1547" max="1549" width="8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799" width="7.625" style="568" bestFit="1" customWidth="1"/>
    <col min="1800" max="1800" width="2.25" style="568" bestFit="1" customWidth="1"/>
    <col min="1801" max="1801" width="4.375" style="568" bestFit="1" customWidth="1"/>
    <col min="1802" max="1802" width="8.375" style="568" bestFit="1" customWidth="1"/>
    <col min="1803" max="1805" width="8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5" width="7.625" style="568" bestFit="1" customWidth="1"/>
    <col min="2056" max="2056" width="2.25" style="568" bestFit="1" customWidth="1"/>
    <col min="2057" max="2057" width="4.375" style="568" bestFit="1" customWidth="1"/>
    <col min="2058" max="2058" width="8.375" style="568" bestFit="1" customWidth="1"/>
    <col min="2059" max="2061" width="8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1" width="7.625" style="568" bestFit="1" customWidth="1"/>
    <col min="2312" max="2312" width="2.25" style="568" bestFit="1" customWidth="1"/>
    <col min="2313" max="2313" width="4.375" style="568" bestFit="1" customWidth="1"/>
    <col min="2314" max="2314" width="8.375" style="568" bestFit="1" customWidth="1"/>
    <col min="2315" max="2317" width="8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7" width="7.625" style="568" bestFit="1" customWidth="1"/>
    <col min="2568" max="2568" width="2.25" style="568" bestFit="1" customWidth="1"/>
    <col min="2569" max="2569" width="4.375" style="568" bestFit="1" customWidth="1"/>
    <col min="2570" max="2570" width="8.375" style="568" bestFit="1" customWidth="1"/>
    <col min="2571" max="2573" width="8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3" width="7.625" style="568" bestFit="1" customWidth="1"/>
    <col min="2824" max="2824" width="2.25" style="568" bestFit="1" customWidth="1"/>
    <col min="2825" max="2825" width="4.375" style="568" bestFit="1" customWidth="1"/>
    <col min="2826" max="2826" width="8.375" style="568" bestFit="1" customWidth="1"/>
    <col min="2827" max="2829" width="8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79" width="7.625" style="568" bestFit="1" customWidth="1"/>
    <col min="3080" max="3080" width="2.25" style="568" bestFit="1" customWidth="1"/>
    <col min="3081" max="3081" width="4.375" style="568" bestFit="1" customWidth="1"/>
    <col min="3082" max="3082" width="8.375" style="568" bestFit="1" customWidth="1"/>
    <col min="3083" max="3085" width="8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5" width="7.625" style="568" bestFit="1" customWidth="1"/>
    <col min="3336" max="3336" width="2.25" style="568" bestFit="1" customWidth="1"/>
    <col min="3337" max="3337" width="4.375" style="568" bestFit="1" customWidth="1"/>
    <col min="3338" max="3338" width="8.375" style="568" bestFit="1" customWidth="1"/>
    <col min="3339" max="3341" width="8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1" width="7.625" style="568" bestFit="1" customWidth="1"/>
    <col min="3592" max="3592" width="2.25" style="568" bestFit="1" customWidth="1"/>
    <col min="3593" max="3593" width="4.375" style="568" bestFit="1" customWidth="1"/>
    <col min="3594" max="3594" width="8.375" style="568" bestFit="1" customWidth="1"/>
    <col min="3595" max="3597" width="8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7" width="7.625" style="568" bestFit="1" customWidth="1"/>
    <col min="3848" max="3848" width="2.25" style="568" bestFit="1" customWidth="1"/>
    <col min="3849" max="3849" width="4.375" style="568" bestFit="1" customWidth="1"/>
    <col min="3850" max="3850" width="8.375" style="568" bestFit="1" customWidth="1"/>
    <col min="3851" max="3853" width="8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3" width="7.625" style="568" bestFit="1" customWidth="1"/>
    <col min="4104" max="4104" width="2.25" style="568" bestFit="1" customWidth="1"/>
    <col min="4105" max="4105" width="4.375" style="568" bestFit="1" customWidth="1"/>
    <col min="4106" max="4106" width="8.375" style="568" bestFit="1" customWidth="1"/>
    <col min="4107" max="4109" width="8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59" width="7.625" style="568" bestFit="1" customWidth="1"/>
    <col min="4360" max="4360" width="2.25" style="568" bestFit="1" customWidth="1"/>
    <col min="4361" max="4361" width="4.375" style="568" bestFit="1" customWidth="1"/>
    <col min="4362" max="4362" width="8.375" style="568" bestFit="1" customWidth="1"/>
    <col min="4363" max="4365" width="8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5" width="7.625" style="568" bestFit="1" customWidth="1"/>
    <col min="4616" max="4616" width="2.25" style="568" bestFit="1" customWidth="1"/>
    <col min="4617" max="4617" width="4.375" style="568" bestFit="1" customWidth="1"/>
    <col min="4618" max="4618" width="8.375" style="568" bestFit="1" customWidth="1"/>
    <col min="4619" max="4621" width="8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1" width="7.625" style="568" bestFit="1" customWidth="1"/>
    <col min="4872" max="4872" width="2.25" style="568" bestFit="1" customWidth="1"/>
    <col min="4873" max="4873" width="4.375" style="568" bestFit="1" customWidth="1"/>
    <col min="4874" max="4874" width="8.375" style="568" bestFit="1" customWidth="1"/>
    <col min="4875" max="4877" width="8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7" width="7.625" style="568" bestFit="1" customWidth="1"/>
    <col min="5128" max="5128" width="2.25" style="568" bestFit="1" customWidth="1"/>
    <col min="5129" max="5129" width="4.375" style="568" bestFit="1" customWidth="1"/>
    <col min="5130" max="5130" width="8.375" style="568" bestFit="1" customWidth="1"/>
    <col min="5131" max="5133" width="8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3" width="7.625" style="568" bestFit="1" customWidth="1"/>
    <col min="5384" max="5384" width="2.25" style="568" bestFit="1" customWidth="1"/>
    <col min="5385" max="5385" width="4.375" style="568" bestFit="1" customWidth="1"/>
    <col min="5386" max="5386" width="8.375" style="568" bestFit="1" customWidth="1"/>
    <col min="5387" max="5389" width="8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39" width="7.625" style="568" bestFit="1" customWidth="1"/>
    <col min="5640" max="5640" width="2.25" style="568" bestFit="1" customWidth="1"/>
    <col min="5641" max="5641" width="4.375" style="568" bestFit="1" customWidth="1"/>
    <col min="5642" max="5642" width="8.375" style="568" bestFit="1" customWidth="1"/>
    <col min="5643" max="5645" width="8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5" width="7.625" style="568" bestFit="1" customWidth="1"/>
    <col min="5896" max="5896" width="2.25" style="568" bestFit="1" customWidth="1"/>
    <col min="5897" max="5897" width="4.375" style="568" bestFit="1" customWidth="1"/>
    <col min="5898" max="5898" width="8.375" style="568" bestFit="1" customWidth="1"/>
    <col min="5899" max="5901" width="8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1" width="7.625" style="568" bestFit="1" customWidth="1"/>
    <col min="6152" max="6152" width="2.25" style="568" bestFit="1" customWidth="1"/>
    <col min="6153" max="6153" width="4.375" style="568" bestFit="1" customWidth="1"/>
    <col min="6154" max="6154" width="8.375" style="568" bestFit="1" customWidth="1"/>
    <col min="6155" max="6157" width="8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7" width="7.625" style="568" bestFit="1" customWidth="1"/>
    <col min="6408" max="6408" width="2.25" style="568" bestFit="1" customWidth="1"/>
    <col min="6409" max="6409" width="4.375" style="568" bestFit="1" customWidth="1"/>
    <col min="6410" max="6410" width="8.375" style="568" bestFit="1" customWidth="1"/>
    <col min="6411" max="6413" width="8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3" width="7.625" style="568" bestFit="1" customWidth="1"/>
    <col min="6664" max="6664" width="2.25" style="568" bestFit="1" customWidth="1"/>
    <col min="6665" max="6665" width="4.375" style="568" bestFit="1" customWidth="1"/>
    <col min="6666" max="6666" width="8.375" style="568" bestFit="1" customWidth="1"/>
    <col min="6667" max="6669" width="8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19" width="7.625" style="568" bestFit="1" customWidth="1"/>
    <col min="6920" max="6920" width="2.25" style="568" bestFit="1" customWidth="1"/>
    <col min="6921" max="6921" width="4.375" style="568" bestFit="1" customWidth="1"/>
    <col min="6922" max="6922" width="8.375" style="568" bestFit="1" customWidth="1"/>
    <col min="6923" max="6925" width="8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5" width="7.625" style="568" bestFit="1" customWidth="1"/>
    <col min="7176" max="7176" width="2.25" style="568" bestFit="1" customWidth="1"/>
    <col min="7177" max="7177" width="4.375" style="568" bestFit="1" customWidth="1"/>
    <col min="7178" max="7178" width="8.375" style="568" bestFit="1" customWidth="1"/>
    <col min="7179" max="7181" width="8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1" width="7.625" style="568" bestFit="1" customWidth="1"/>
    <col min="7432" max="7432" width="2.25" style="568" bestFit="1" customWidth="1"/>
    <col min="7433" max="7433" width="4.375" style="568" bestFit="1" customWidth="1"/>
    <col min="7434" max="7434" width="8.375" style="568" bestFit="1" customWidth="1"/>
    <col min="7435" max="7437" width="8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7" width="7.625" style="568" bestFit="1" customWidth="1"/>
    <col min="7688" max="7688" width="2.25" style="568" bestFit="1" customWidth="1"/>
    <col min="7689" max="7689" width="4.375" style="568" bestFit="1" customWidth="1"/>
    <col min="7690" max="7690" width="8.375" style="568" bestFit="1" customWidth="1"/>
    <col min="7691" max="7693" width="8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3" width="7.625" style="568" bestFit="1" customWidth="1"/>
    <col min="7944" max="7944" width="2.25" style="568" bestFit="1" customWidth="1"/>
    <col min="7945" max="7945" width="4.375" style="568" bestFit="1" customWidth="1"/>
    <col min="7946" max="7946" width="8.375" style="568" bestFit="1" customWidth="1"/>
    <col min="7947" max="7949" width="8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199" width="7.625" style="568" bestFit="1" customWidth="1"/>
    <col min="8200" max="8200" width="2.25" style="568" bestFit="1" customWidth="1"/>
    <col min="8201" max="8201" width="4.375" style="568" bestFit="1" customWidth="1"/>
    <col min="8202" max="8202" width="8.375" style="568" bestFit="1" customWidth="1"/>
    <col min="8203" max="8205" width="8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5" width="7.625" style="568" bestFit="1" customWidth="1"/>
    <col min="8456" max="8456" width="2.25" style="568" bestFit="1" customWidth="1"/>
    <col min="8457" max="8457" width="4.375" style="568" bestFit="1" customWidth="1"/>
    <col min="8458" max="8458" width="8.375" style="568" bestFit="1" customWidth="1"/>
    <col min="8459" max="8461" width="8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1" width="7.625" style="568" bestFit="1" customWidth="1"/>
    <col min="8712" max="8712" width="2.25" style="568" bestFit="1" customWidth="1"/>
    <col min="8713" max="8713" width="4.375" style="568" bestFit="1" customWidth="1"/>
    <col min="8714" max="8714" width="8.375" style="568" bestFit="1" customWidth="1"/>
    <col min="8715" max="8717" width="8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7" width="7.625" style="568" bestFit="1" customWidth="1"/>
    <col min="8968" max="8968" width="2.25" style="568" bestFit="1" customWidth="1"/>
    <col min="8969" max="8969" width="4.375" style="568" bestFit="1" customWidth="1"/>
    <col min="8970" max="8970" width="8.375" style="568" bestFit="1" customWidth="1"/>
    <col min="8971" max="8973" width="8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3" width="7.625" style="568" bestFit="1" customWidth="1"/>
    <col min="9224" max="9224" width="2.25" style="568" bestFit="1" customWidth="1"/>
    <col min="9225" max="9225" width="4.375" style="568" bestFit="1" customWidth="1"/>
    <col min="9226" max="9226" width="8.375" style="568" bestFit="1" customWidth="1"/>
    <col min="9227" max="9229" width="8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79" width="7.625" style="568" bestFit="1" customWidth="1"/>
    <col min="9480" max="9480" width="2.25" style="568" bestFit="1" customWidth="1"/>
    <col min="9481" max="9481" width="4.375" style="568" bestFit="1" customWidth="1"/>
    <col min="9482" max="9482" width="8.375" style="568" bestFit="1" customWidth="1"/>
    <col min="9483" max="9485" width="8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5" width="7.625" style="568" bestFit="1" customWidth="1"/>
    <col min="9736" max="9736" width="2.25" style="568" bestFit="1" customWidth="1"/>
    <col min="9737" max="9737" width="4.375" style="568" bestFit="1" customWidth="1"/>
    <col min="9738" max="9738" width="8.375" style="568" bestFit="1" customWidth="1"/>
    <col min="9739" max="9741" width="8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1" width="7.625" style="568" bestFit="1" customWidth="1"/>
    <col min="9992" max="9992" width="2.25" style="568" bestFit="1" customWidth="1"/>
    <col min="9993" max="9993" width="4.375" style="568" bestFit="1" customWidth="1"/>
    <col min="9994" max="9994" width="8.375" style="568" bestFit="1" customWidth="1"/>
    <col min="9995" max="9997" width="8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7" width="7.625" style="568" bestFit="1" customWidth="1"/>
    <col min="10248" max="10248" width="2.25" style="568" bestFit="1" customWidth="1"/>
    <col min="10249" max="10249" width="4.375" style="568" bestFit="1" customWidth="1"/>
    <col min="10250" max="10250" width="8.375" style="568" bestFit="1" customWidth="1"/>
    <col min="10251" max="10253" width="8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3" width="7.625" style="568" bestFit="1" customWidth="1"/>
    <col min="10504" max="10504" width="2.25" style="568" bestFit="1" customWidth="1"/>
    <col min="10505" max="10505" width="4.375" style="568" bestFit="1" customWidth="1"/>
    <col min="10506" max="10506" width="8.375" style="568" bestFit="1" customWidth="1"/>
    <col min="10507" max="10509" width="8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59" width="7.625" style="568" bestFit="1" customWidth="1"/>
    <col min="10760" max="10760" width="2.25" style="568" bestFit="1" customWidth="1"/>
    <col min="10761" max="10761" width="4.375" style="568" bestFit="1" customWidth="1"/>
    <col min="10762" max="10762" width="8.375" style="568" bestFit="1" customWidth="1"/>
    <col min="10763" max="10765" width="8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5" width="7.625" style="568" bestFit="1" customWidth="1"/>
    <col min="11016" max="11016" width="2.25" style="568" bestFit="1" customWidth="1"/>
    <col min="11017" max="11017" width="4.375" style="568" bestFit="1" customWidth="1"/>
    <col min="11018" max="11018" width="8.375" style="568" bestFit="1" customWidth="1"/>
    <col min="11019" max="11021" width="8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1" width="7.625" style="568" bestFit="1" customWidth="1"/>
    <col min="11272" max="11272" width="2.25" style="568" bestFit="1" customWidth="1"/>
    <col min="11273" max="11273" width="4.375" style="568" bestFit="1" customWidth="1"/>
    <col min="11274" max="11274" width="8.375" style="568" bestFit="1" customWidth="1"/>
    <col min="11275" max="11277" width="8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7" width="7.625" style="568" bestFit="1" customWidth="1"/>
    <col min="11528" max="11528" width="2.25" style="568" bestFit="1" customWidth="1"/>
    <col min="11529" max="11529" width="4.375" style="568" bestFit="1" customWidth="1"/>
    <col min="11530" max="11530" width="8.375" style="568" bestFit="1" customWidth="1"/>
    <col min="11531" max="11533" width="8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3" width="7.625" style="568" bestFit="1" customWidth="1"/>
    <col min="11784" max="11784" width="2.25" style="568" bestFit="1" customWidth="1"/>
    <col min="11785" max="11785" width="4.375" style="568" bestFit="1" customWidth="1"/>
    <col min="11786" max="11786" width="8.375" style="568" bestFit="1" customWidth="1"/>
    <col min="11787" max="11789" width="8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39" width="7.625" style="568" bestFit="1" customWidth="1"/>
    <col min="12040" max="12040" width="2.25" style="568" bestFit="1" customWidth="1"/>
    <col min="12041" max="12041" width="4.375" style="568" bestFit="1" customWidth="1"/>
    <col min="12042" max="12042" width="8.375" style="568" bestFit="1" customWidth="1"/>
    <col min="12043" max="12045" width="8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5" width="7.625" style="568" bestFit="1" customWidth="1"/>
    <col min="12296" max="12296" width="2.25" style="568" bestFit="1" customWidth="1"/>
    <col min="12297" max="12297" width="4.375" style="568" bestFit="1" customWidth="1"/>
    <col min="12298" max="12298" width="8.375" style="568" bestFit="1" customWidth="1"/>
    <col min="12299" max="12301" width="8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1" width="7.625" style="568" bestFit="1" customWidth="1"/>
    <col min="12552" max="12552" width="2.25" style="568" bestFit="1" customWidth="1"/>
    <col min="12553" max="12553" width="4.375" style="568" bestFit="1" customWidth="1"/>
    <col min="12554" max="12554" width="8.375" style="568" bestFit="1" customWidth="1"/>
    <col min="12555" max="12557" width="8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7" width="7.625" style="568" bestFit="1" customWidth="1"/>
    <col min="12808" max="12808" width="2.25" style="568" bestFit="1" customWidth="1"/>
    <col min="12809" max="12809" width="4.375" style="568" bestFit="1" customWidth="1"/>
    <col min="12810" max="12810" width="8.375" style="568" bestFit="1" customWidth="1"/>
    <col min="12811" max="12813" width="8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3" width="7.625" style="568" bestFit="1" customWidth="1"/>
    <col min="13064" max="13064" width="2.25" style="568" bestFit="1" customWidth="1"/>
    <col min="13065" max="13065" width="4.375" style="568" bestFit="1" customWidth="1"/>
    <col min="13066" max="13066" width="8.375" style="568" bestFit="1" customWidth="1"/>
    <col min="13067" max="13069" width="8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19" width="7.625" style="568" bestFit="1" customWidth="1"/>
    <col min="13320" max="13320" width="2.25" style="568" bestFit="1" customWidth="1"/>
    <col min="13321" max="13321" width="4.375" style="568" bestFit="1" customWidth="1"/>
    <col min="13322" max="13322" width="8.375" style="568" bestFit="1" customWidth="1"/>
    <col min="13323" max="13325" width="8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5" width="7.625" style="568" bestFit="1" customWidth="1"/>
    <col min="13576" max="13576" width="2.25" style="568" bestFit="1" customWidth="1"/>
    <col min="13577" max="13577" width="4.375" style="568" bestFit="1" customWidth="1"/>
    <col min="13578" max="13578" width="8.375" style="568" bestFit="1" customWidth="1"/>
    <col min="13579" max="13581" width="8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1" width="7.625" style="568" bestFit="1" customWidth="1"/>
    <col min="13832" max="13832" width="2.25" style="568" bestFit="1" customWidth="1"/>
    <col min="13833" max="13833" width="4.375" style="568" bestFit="1" customWidth="1"/>
    <col min="13834" max="13834" width="8.375" style="568" bestFit="1" customWidth="1"/>
    <col min="13835" max="13837" width="8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7" width="7.625" style="568" bestFit="1" customWidth="1"/>
    <col min="14088" max="14088" width="2.25" style="568" bestFit="1" customWidth="1"/>
    <col min="14089" max="14089" width="4.375" style="568" bestFit="1" customWidth="1"/>
    <col min="14090" max="14090" width="8.375" style="568" bestFit="1" customWidth="1"/>
    <col min="14091" max="14093" width="8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3" width="7.625" style="568" bestFit="1" customWidth="1"/>
    <col min="14344" max="14344" width="2.25" style="568" bestFit="1" customWidth="1"/>
    <col min="14345" max="14345" width="4.375" style="568" bestFit="1" customWidth="1"/>
    <col min="14346" max="14346" width="8.375" style="568" bestFit="1" customWidth="1"/>
    <col min="14347" max="14349" width="8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599" width="7.625" style="568" bestFit="1" customWidth="1"/>
    <col min="14600" max="14600" width="2.25" style="568" bestFit="1" customWidth="1"/>
    <col min="14601" max="14601" width="4.375" style="568" bestFit="1" customWidth="1"/>
    <col min="14602" max="14602" width="8.375" style="568" bestFit="1" customWidth="1"/>
    <col min="14603" max="14605" width="8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5" width="7.625" style="568" bestFit="1" customWidth="1"/>
    <col min="14856" max="14856" width="2.25" style="568" bestFit="1" customWidth="1"/>
    <col min="14857" max="14857" width="4.375" style="568" bestFit="1" customWidth="1"/>
    <col min="14858" max="14858" width="8.375" style="568" bestFit="1" customWidth="1"/>
    <col min="14859" max="14861" width="8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1" width="7.625" style="568" bestFit="1" customWidth="1"/>
    <col min="15112" max="15112" width="2.25" style="568" bestFit="1" customWidth="1"/>
    <col min="15113" max="15113" width="4.375" style="568" bestFit="1" customWidth="1"/>
    <col min="15114" max="15114" width="8.375" style="568" bestFit="1" customWidth="1"/>
    <col min="15115" max="15117" width="8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7" width="7.625" style="568" bestFit="1" customWidth="1"/>
    <col min="15368" max="15368" width="2.25" style="568" bestFit="1" customWidth="1"/>
    <col min="15369" max="15369" width="4.375" style="568" bestFit="1" customWidth="1"/>
    <col min="15370" max="15370" width="8.375" style="568" bestFit="1" customWidth="1"/>
    <col min="15371" max="15373" width="8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3" width="7.625" style="568" bestFit="1" customWidth="1"/>
    <col min="15624" max="15624" width="2.25" style="568" bestFit="1" customWidth="1"/>
    <col min="15625" max="15625" width="4.375" style="568" bestFit="1" customWidth="1"/>
    <col min="15626" max="15626" width="8.375" style="568" bestFit="1" customWidth="1"/>
    <col min="15627" max="15629" width="8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79" width="7.625" style="568" bestFit="1" customWidth="1"/>
    <col min="15880" max="15880" width="2.25" style="568" bestFit="1" customWidth="1"/>
    <col min="15881" max="15881" width="4.375" style="568" bestFit="1" customWidth="1"/>
    <col min="15882" max="15882" width="8.375" style="568" bestFit="1" customWidth="1"/>
    <col min="15883" max="15885" width="8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5" width="7.625" style="568" bestFit="1" customWidth="1"/>
    <col min="16136" max="16136" width="2.25" style="568" bestFit="1" customWidth="1"/>
    <col min="16137" max="16137" width="4.375" style="568" bestFit="1" customWidth="1"/>
    <col min="16138" max="16138" width="8.375" style="568" bestFit="1" customWidth="1"/>
    <col min="16139" max="16141" width="8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752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97</v>
      </c>
      <c r="J9" s="567" t="s">
        <v>327</v>
      </c>
      <c r="K9" s="567" t="s">
        <v>1002</v>
      </c>
      <c r="L9" s="567" t="s">
        <v>1003</v>
      </c>
      <c r="M9" s="567" t="s">
        <v>1004</v>
      </c>
      <c r="N9" s="567" t="s">
        <v>1005</v>
      </c>
      <c r="O9" s="567" t="s">
        <v>1006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5.8750000000000004E-2</v>
      </c>
      <c r="E10" s="567">
        <v>40608</v>
      </c>
      <c r="F10" s="567" t="s">
        <v>1001</v>
      </c>
      <c r="G10" s="567" t="s">
        <v>326</v>
      </c>
      <c r="H10" s="567">
        <v>0</v>
      </c>
      <c r="I10" s="567">
        <v>97</v>
      </c>
      <c r="J10" s="567" t="s">
        <v>327</v>
      </c>
      <c r="K10" s="567" t="s">
        <v>1002</v>
      </c>
      <c r="L10" s="567" t="s">
        <v>1003</v>
      </c>
      <c r="M10" s="567" t="s">
        <v>1004</v>
      </c>
      <c r="N10" s="567" t="s">
        <v>1005</v>
      </c>
      <c r="O10" s="567" t="s">
        <v>1006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6.25E-2</v>
      </c>
      <c r="E11" s="567">
        <v>2592</v>
      </c>
      <c r="F11" s="567" t="s">
        <v>1001</v>
      </c>
      <c r="G11" s="567" t="s">
        <v>326</v>
      </c>
      <c r="H11" s="567">
        <v>0</v>
      </c>
      <c r="I11" s="567">
        <v>97</v>
      </c>
      <c r="J11" s="567" t="s">
        <v>1010</v>
      </c>
      <c r="K11" s="567" t="s">
        <v>1002</v>
      </c>
      <c r="L11" s="567" t="s">
        <v>1003</v>
      </c>
      <c r="M11" s="567" t="s">
        <v>1004</v>
      </c>
      <c r="N11" s="567" t="s">
        <v>1005</v>
      </c>
      <c r="O11" s="567" t="s">
        <v>1006</v>
      </c>
      <c r="P11" s="567" t="s">
        <v>1007</v>
      </c>
      <c r="Q11" s="567" t="s">
        <v>1008</v>
      </c>
      <c r="R11" s="567">
        <v>80</v>
      </c>
    </row>
    <row r="12" spans="1:18" ht="15" x14ac:dyDescent="0.2">
      <c r="A12" s="567"/>
      <c r="B12" s="567"/>
      <c r="C12" s="567"/>
      <c r="D12" s="569">
        <v>0.16041666666666668</v>
      </c>
      <c r="E12" s="567">
        <v>67680</v>
      </c>
      <c r="F12" s="567" t="s">
        <v>1001</v>
      </c>
      <c r="G12" s="567" t="s">
        <v>326</v>
      </c>
      <c r="H12" s="567">
        <v>0</v>
      </c>
      <c r="I12" s="567">
        <v>97</v>
      </c>
      <c r="J12" s="567" t="s">
        <v>1010</v>
      </c>
      <c r="K12" s="567" t="s">
        <v>1002</v>
      </c>
      <c r="L12" s="567" t="s">
        <v>1003</v>
      </c>
      <c r="M12" s="567" t="s">
        <v>1004</v>
      </c>
      <c r="N12" s="567" t="s">
        <v>1005</v>
      </c>
      <c r="O12" s="567" t="s">
        <v>1006</v>
      </c>
      <c r="P12" s="567" t="s">
        <v>1009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0.16666666666666666</v>
      </c>
      <c r="E13" s="567">
        <v>4320</v>
      </c>
      <c r="F13" s="567" t="s">
        <v>1001</v>
      </c>
      <c r="G13" s="567" t="s">
        <v>326</v>
      </c>
      <c r="H13" s="567">
        <v>0</v>
      </c>
      <c r="I13" s="567">
        <v>401</v>
      </c>
      <c r="J13" s="567" t="s">
        <v>327</v>
      </c>
      <c r="K13" s="567" t="s">
        <v>1002</v>
      </c>
      <c r="L13" s="567" t="s">
        <v>1003</v>
      </c>
      <c r="M13" s="567" t="s">
        <v>1004</v>
      </c>
      <c r="N13" s="567" t="s">
        <v>1011</v>
      </c>
      <c r="O13" s="567" t="s">
        <v>1012</v>
      </c>
      <c r="P13" s="567" t="s">
        <v>1007</v>
      </c>
      <c r="Q13" s="567" t="s">
        <v>1008</v>
      </c>
      <c r="R13" s="567">
        <v>80</v>
      </c>
    </row>
    <row r="14" spans="1:18" ht="15" x14ac:dyDescent="0.2">
      <c r="A14" s="567"/>
      <c r="B14" s="567"/>
      <c r="C14" s="567"/>
      <c r="D14" s="569">
        <v>0.32268518518518519</v>
      </c>
      <c r="E14" s="567">
        <v>107840</v>
      </c>
      <c r="F14" s="567" t="s">
        <v>1001</v>
      </c>
      <c r="G14" s="567" t="s">
        <v>326</v>
      </c>
      <c r="H14" s="567">
        <v>0</v>
      </c>
      <c r="I14" s="567">
        <v>401</v>
      </c>
      <c r="J14" s="567" t="s">
        <v>327</v>
      </c>
      <c r="K14" s="567" t="s">
        <v>1002</v>
      </c>
      <c r="L14" s="567" t="s">
        <v>1003</v>
      </c>
      <c r="M14" s="567" t="s">
        <v>1004</v>
      </c>
      <c r="N14" s="567" t="s">
        <v>1011</v>
      </c>
      <c r="O14" s="567" t="s">
        <v>1012</v>
      </c>
      <c r="P14" s="567" t="s">
        <v>1009</v>
      </c>
      <c r="Q14" s="567" t="s">
        <v>1008</v>
      </c>
      <c r="R14" s="567">
        <v>80</v>
      </c>
    </row>
    <row r="15" spans="1:18" ht="15" x14ac:dyDescent="0.2">
      <c r="A15" s="567"/>
      <c r="B15" s="567"/>
      <c r="C15" s="567"/>
      <c r="D15" s="569">
        <v>0.32268518518518519</v>
      </c>
      <c r="E15" s="567">
        <v>0</v>
      </c>
      <c r="F15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7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7" width="7.625" style="568" bestFit="1" customWidth="1"/>
    <col min="8" max="8" width="2.25" style="568" bestFit="1" customWidth="1"/>
    <col min="9" max="9" width="3.375" style="568" bestFit="1" customWidth="1"/>
    <col min="10" max="10" width="8.375" style="568" bestFit="1" customWidth="1"/>
    <col min="11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3" width="7.625" style="568" bestFit="1" customWidth="1"/>
    <col min="264" max="264" width="2.25" style="568" bestFit="1" customWidth="1"/>
    <col min="265" max="265" width="3.375" style="568" bestFit="1" customWidth="1"/>
    <col min="266" max="266" width="8.375" style="568" bestFit="1" customWidth="1"/>
    <col min="267" max="269" width="8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19" width="7.625" style="568" bestFit="1" customWidth="1"/>
    <col min="520" max="520" width="2.25" style="568" bestFit="1" customWidth="1"/>
    <col min="521" max="521" width="3.375" style="568" bestFit="1" customWidth="1"/>
    <col min="522" max="522" width="8.375" style="568" bestFit="1" customWidth="1"/>
    <col min="523" max="525" width="8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5" width="7.625" style="568" bestFit="1" customWidth="1"/>
    <col min="776" max="776" width="2.25" style="568" bestFit="1" customWidth="1"/>
    <col min="777" max="777" width="3.375" style="568" bestFit="1" customWidth="1"/>
    <col min="778" max="778" width="8.375" style="568" bestFit="1" customWidth="1"/>
    <col min="779" max="781" width="8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1" width="7.625" style="568" bestFit="1" customWidth="1"/>
    <col min="1032" max="1032" width="2.25" style="568" bestFit="1" customWidth="1"/>
    <col min="1033" max="1033" width="3.375" style="568" bestFit="1" customWidth="1"/>
    <col min="1034" max="1034" width="8.375" style="568" bestFit="1" customWidth="1"/>
    <col min="1035" max="1037" width="8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7" width="7.625" style="568" bestFit="1" customWidth="1"/>
    <col min="1288" max="1288" width="2.25" style="568" bestFit="1" customWidth="1"/>
    <col min="1289" max="1289" width="3.375" style="568" bestFit="1" customWidth="1"/>
    <col min="1290" max="1290" width="8.375" style="568" bestFit="1" customWidth="1"/>
    <col min="1291" max="1293" width="8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3" width="7.625" style="568" bestFit="1" customWidth="1"/>
    <col min="1544" max="1544" width="2.25" style="568" bestFit="1" customWidth="1"/>
    <col min="1545" max="1545" width="3.375" style="568" bestFit="1" customWidth="1"/>
    <col min="1546" max="1546" width="8.375" style="568" bestFit="1" customWidth="1"/>
    <col min="1547" max="1549" width="8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799" width="7.625" style="568" bestFit="1" customWidth="1"/>
    <col min="1800" max="1800" width="2.25" style="568" bestFit="1" customWidth="1"/>
    <col min="1801" max="1801" width="3.375" style="568" bestFit="1" customWidth="1"/>
    <col min="1802" max="1802" width="8.375" style="568" bestFit="1" customWidth="1"/>
    <col min="1803" max="1805" width="8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5" width="7.625" style="568" bestFit="1" customWidth="1"/>
    <col min="2056" max="2056" width="2.25" style="568" bestFit="1" customWidth="1"/>
    <col min="2057" max="2057" width="3.375" style="568" bestFit="1" customWidth="1"/>
    <col min="2058" max="2058" width="8.375" style="568" bestFit="1" customWidth="1"/>
    <col min="2059" max="2061" width="8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1" width="7.625" style="568" bestFit="1" customWidth="1"/>
    <col min="2312" max="2312" width="2.25" style="568" bestFit="1" customWidth="1"/>
    <col min="2313" max="2313" width="3.375" style="568" bestFit="1" customWidth="1"/>
    <col min="2314" max="2314" width="8.375" style="568" bestFit="1" customWidth="1"/>
    <col min="2315" max="2317" width="8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7" width="7.625" style="568" bestFit="1" customWidth="1"/>
    <col min="2568" max="2568" width="2.25" style="568" bestFit="1" customWidth="1"/>
    <col min="2569" max="2569" width="3.375" style="568" bestFit="1" customWidth="1"/>
    <col min="2570" max="2570" width="8.375" style="568" bestFit="1" customWidth="1"/>
    <col min="2571" max="2573" width="8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3" width="7.625" style="568" bestFit="1" customWidth="1"/>
    <col min="2824" max="2824" width="2.25" style="568" bestFit="1" customWidth="1"/>
    <col min="2825" max="2825" width="3.375" style="568" bestFit="1" customWidth="1"/>
    <col min="2826" max="2826" width="8.375" style="568" bestFit="1" customWidth="1"/>
    <col min="2827" max="2829" width="8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79" width="7.625" style="568" bestFit="1" customWidth="1"/>
    <col min="3080" max="3080" width="2.25" style="568" bestFit="1" customWidth="1"/>
    <col min="3081" max="3081" width="3.375" style="568" bestFit="1" customWidth="1"/>
    <col min="3082" max="3082" width="8.375" style="568" bestFit="1" customWidth="1"/>
    <col min="3083" max="3085" width="8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5" width="7.625" style="568" bestFit="1" customWidth="1"/>
    <col min="3336" max="3336" width="2.25" style="568" bestFit="1" customWidth="1"/>
    <col min="3337" max="3337" width="3.375" style="568" bestFit="1" customWidth="1"/>
    <col min="3338" max="3338" width="8.375" style="568" bestFit="1" customWidth="1"/>
    <col min="3339" max="3341" width="8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1" width="7.625" style="568" bestFit="1" customWidth="1"/>
    <col min="3592" max="3592" width="2.25" style="568" bestFit="1" customWidth="1"/>
    <col min="3593" max="3593" width="3.375" style="568" bestFit="1" customWidth="1"/>
    <col min="3594" max="3594" width="8.375" style="568" bestFit="1" customWidth="1"/>
    <col min="3595" max="3597" width="8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7" width="7.625" style="568" bestFit="1" customWidth="1"/>
    <col min="3848" max="3848" width="2.25" style="568" bestFit="1" customWidth="1"/>
    <col min="3849" max="3849" width="3.375" style="568" bestFit="1" customWidth="1"/>
    <col min="3850" max="3850" width="8.375" style="568" bestFit="1" customWidth="1"/>
    <col min="3851" max="3853" width="8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3" width="7.625" style="568" bestFit="1" customWidth="1"/>
    <col min="4104" max="4104" width="2.25" style="568" bestFit="1" customWidth="1"/>
    <col min="4105" max="4105" width="3.375" style="568" bestFit="1" customWidth="1"/>
    <col min="4106" max="4106" width="8.375" style="568" bestFit="1" customWidth="1"/>
    <col min="4107" max="4109" width="8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59" width="7.625" style="568" bestFit="1" customWidth="1"/>
    <col min="4360" max="4360" width="2.25" style="568" bestFit="1" customWidth="1"/>
    <col min="4361" max="4361" width="3.375" style="568" bestFit="1" customWidth="1"/>
    <col min="4362" max="4362" width="8.375" style="568" bestFit="1" customWidth="1"/>
    <col min="4363" max="4365" width="8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5" width="7.625" style="568" bestFit="1" customWidth="1"/>
    <col min="4616" max="4616" width="2.25" style="568" bestFit="1" customWidth="1"/>
    <col min="4617" max="4617" width="3.375" style="568" bestFit="1" customWidth="1"/>
    <col min="4618" max="4618" width="8.375" style="568" bestFit="1" customWidth="1"/>
    <col min="4619" max="4621" width="8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1" width="7.625" style="568" bestFit="1" customWidth="1"/>
    <col min="4872" max="4872" width="2.25" style="568" bestFit="1" customWidth="1"/>
    <col min="4873" max="4873" width="3.375" style="568" bestFit="1" customWidth="1"/>
    <col min="4874" max="4874" width="8.375" style="568" bestFit="1" customWidth="1"/>
    <col min="4875" max="4877" width="8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7" width="7.625" style="568" bestFit="1" customWidth="1"/>
    <col min="5128" max="5128" width="2.25" style="568" bestFit="1" customWidth="1"/>
    <col min="5129" max="5129" width="3.375" style="568" bestFit="1" customWidth="1"/>
    <col min="5130" max="5130" width="8.375" style="568" bestFit="1" customWidth="1"/>
    <col min="5131" max="5133" width="8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3" width="7.625" style="568" bestFit="1" customWidth="1"/>
    <col min="5384" max="5384" width="2.25" style="568" bestFit="1" customWidth="1"/>
    <col min="5385" max="5385" width="3.375" style="568" bestFit="1" customWidth="1"/>
    <col min="5386" max="5386" width="8.375" style="568" bestFit="1" customWidth="1"/>
    <col min="5387" max="5389" width="8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39" width="7.625" style="568" bestFit="1" customWidth="1"/>
    <col min="5640" max="5640" width="2.25" style="568" bestFit="1" customWidth="1"/>
    <col min="5641" max="5641" width="3.375" style="568" bestFit="1" customWidth="1"/>
    <col min="5642" max="5642" width="8.375" style="568" bestFit="1" customWidth="1"/>
    <col min="5643" max="5645" width="8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5" width="7.625" style="568" bestFit="1" customWidth="1"/>
    <col min="5896" max="5896" width="2.25" style="568" bestFit="1" customWidth="1"/>
    <col min="5897" max="5897" width="3.375" style="568" bestFit="1" customWidth="1"/>
    <col min="5898" max="5898" width="8.375" style="568" bestFit="1" customWidth="1"/>
    <col min="5899" max="5901" width="8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1" width="7.625" style="568" bestFit="1" customWidth="1"/>
    <col min="6152" max="6152" width="2.25" style="568" bestFit="1" customWidth="1"/>
    <col min="6153" max="6153" width="3.375" style="568" bestFit="1" customWidth="1"/>
    <col min="6154" max="6154" width="8.375" style="568" bestFit="1" customWidth="1"/>
    <col min="6155" max="6157" width="8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7" width="7.625" style="568" bestFit="1" customWidth="1"/>
    <col min="6408" max="6408" width="2.25" style="568" bestFit="1" customWidth="1"/>
    <col min="6409" max="6409" width="3.375" style="568" bestFit="1" customWidth="1"/>
    <col min="6410" max="6410" width="8.375" style="568" bestFit="1" customWidth="1"/>
    <col min="6411" max="6413" width="8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3" width="7.625" style="568" bestFit="1" customWidth="1"/>
    <col min="6664" max="6664" width="2.25" style="568" bestFit="1" customWidth="1"/>
    <col min="6665" max="6665" width="3.375" style="568" bestFit="1" customWidth="1"/>
    <col min="6666" max="6666" width="8.375" style="568" bestFit="1" customWidth="1"/>
    <col min="6667" max="6669" width="8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19" width="7.625" style="568" bestFit="1" customWidth="1"/>
    <col min="6920" max="6920" width="2.25" style="568" bestFit="1" customWidth="1"/>
    <col min="6921" max="6921" width="3.375" style="568" bestFit="1" customWidth="1"/>
    <col min="6922" max="6922" width="8.375" style="568" bestFit="1" customWidth="1"/>
    <col min="6923" max="6925" width="8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5" width="7.625" style="568" bestFit="1" customWidth="1"/>
    <col min="7176" max="7176" width="2.25" style="568" bestFit="1" customWidth="1"/>
    <col min="7177" max="7177" width="3.375" style="568" bestFit="1" customWidth="1"/>
    <col min="7178" max="7178" width="8.375" style="568" bestFit="1" customWidth="1"/>
    <col min="7179" max="7181" width="8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1" width="7.625" style="568" bestFit="1" customWidth="1"/>
    <col min="7432" max="7432" width="2.25" style="568" bestFit="1" customWidth="1"/>
    <col min="7433" max="7433" width="3.375" style="568" bestFit="1" customWidth="1"/>
    <col min="7434" max="7434" width="8.375" style="568" bestFit="1" customWidth="1"/>
    <col min="7435" max="7437" width="8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7" width="7.625" style="568" bestFit="1" customWidth="1"/>
    <col min="7688" max="7688" width="2.25" style="568" bestFit="1" customWidth="1"/>
    <col min="7689" max="7689" width="3.375" style="568" bestFit="1" customWidth="1"/>
    <col min="7690" max="7690" width="8.375" style="568" bestFit="1" customWidth="1"/>
    <col min="7691" max="7693" width="8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3" width="7.625" style="568" bestFit="1" customWidth="1"/>
    <col min="7944" max="7944" width="2.25" style="568" bestFit="1" customWidth="1"/>
    <col min="7945" max="7945" width="3.375" style="568" bestFit="1" customWidth="1"/>
    <col min="7946" max="7946" width="8.375" style="568" bestFit="1" customWidth="1"/>
    <col min="7947" max="7949" width="8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199" width="7.625" style="568" bestFit="1" customWidth="1"/>
    <col min="8200" max="8200" width="2.25" style="568" bestFit="1" customWidth="1"/>
    <col min="8201" max="8201" width="3.375" style="568" bestFit="1" customWidth="1"/>
    <col min="8202" max="8202" width="8.375" style="568" bestFit="1" customWidth="1"/>
    <col min="8203" max="8205" width="8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5" width="7.625" style="568" bestFit="1" customWidth="1"/>
    <col min="8456" max="8456" width="2.25" style="568" bestFit="1" customWidth="1"/>
    <col min="8457" max="8457" width="3.375" style="568" bestFit="1" customWidth="1"/>
    <col min="8458" max="8458" width="8.375" style="568" bestFit="1" customWidth="1"/>
    <col min="8459" max="8461" width="8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1" width="7.625" style="568" bestFit="1" customWidth="1"/>
    <col min="8712" max="8712" width="2.25" style="568" bestFit="1" customWidth="1"/>
    <col min="8713" max="8713" width="3.375" style="568" bestFit="1" customWidth="1"/>
    <col min="8714" max="8714" width="8.375" style="568" bestFit="1" customWidth="1"/>
    <col min="8715" max="8717" width="8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7" width="7.625" style="568" bestFit="1" customWidth="1"/>
    <col min="8968" max="8968" width="2.25" style="568" bestFit="1" customWidth="1"/>
    <col min="8969" max="8969" width="3.375" style="568" bestFit="1" customWidth="1"/>
    <col min="8970" max="8970" width="8.375" style="568" bestFit="1" customWidth="1"/>
    <col min="8971" max="8973" width="8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3" width="7.625" style="568" bestFit="1" customWidth="1"/>
    <col min="9224" max="9224" width="2.25" style="568" bestFit="1" customWidth="1"/>
    <col min="9225" max="9225" width="3.375" style="568" bestFit="1" customWidth="1"/>
    <col min="9226" max="9226" width="8.375" style="568" bestFit="1" customWidth="1"/>
    <col min="9227" max="9229" width="8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79" width="7.625" style="568" bestFit="1" customWidth="1"/>
    <col min="9480" max="9480" width="2.25" style="568" bestFit="1" customWidth="1"/>
    <col min="9481" max="9481" width="3.375" style="568" bestFit="1" customWidth="1"/>
    <col min="9482" max="9482" width="8.375" style="568" bestFit="1" customWidth="1"/>
    <col min="9483" max="9485" width="8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5" width="7.625" style="568" bestFit="1" customWidth="1"/>
    <col min="9736" max="9736" width="2.25" style="568" bestFit="1" customWidth="1"/>
    <col min="9737" max="9737" width="3.375" style="568" bestFit="1" customWidth="1"/>
    <col min="9738" max="9738" width="8.375" style="568" bestFit="1" customWidth="1"/>
    <col min="9739" max="9741" width="8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1" width="7.625" style="568" bestFit="1" customWidth="1"/>
    <col min="9992" max="9992" width="2.25" style="568" bestFit="1" customWidth="1"/>
    <col min="9993" max="9993" width="3.375" style="568" bestFit="1" customWidth="1"/>
    <col min="9994" max="9994" width="8.375" style="568" bestFit="1" customWidth="1"/>
    <col min="9995" max="9997" width="8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7" width="7.625" style="568" bestFit="1" customWidth="1"/>
    <col min="10248" max="10248" width="2.25" style="568" bestFit="1" customWidth="1"/>
    <col min="10249" max="10249" width="3.375" style="568" bestFit="1" customWidth="1"/>
    <col min="10250" max="10250" width="8.375" style="568" bestFit="1" customWidth="1"/>
    <col min="10251" max="10253" width="8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3" width="7.625" style="568" bestFit="1" customWidth="1"/>
    <col min="10504" max="10504" width="2.25" style="568" bestFit="1" customWidth="1"/>
    <col min="10505" max="10505" width="3.375" style="568" bestFit="1" customWidth="1"/>
    <col min="10506" max="10506" width="8.375" style="568" bestFit="1" customWidth="1"/>
    <col min="10507" max="10509" width="8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59" width="7.625" style="568" bestFit="1" customWidth="1"/>
    <col min="10760" max="10760" width="2.25" style="568" bestFit="1" customWidth="1"/>
    <col min="10761" max="10761" width="3.375" style="568" bestFit="1" customWidth="1"/>
    <col min="10762" max="10762" width="8.375" style="568" bestFit="1" customWidth="1"/>
    <col min="10763" max="10765" width="8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5" width="7.625" style="568" bestFit="1" customWidth="1"/>
    <col min="11016" max="11016" width="2.25" style="568" bestFit="1" customWidth="1"/>
    <col min="11017" max="11017" width="3.375" style="568" bestFit="1" customWidth="1"/>
    <col min="11018" max="11018" width="8.375" style="568" bestFit="1" customWidth="1"/>
    <col min="11019" max="11021" width="8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1" width="7.625" style="568" bestFit="1" customWidth="1"/>
    <col min="11272" max="11272" width="2.25" style="568" bestFit="1" customWidth="1"/>
    <col min="11273" max="11273" width="3.375" style="568" bestFit="1" customWidth="1"/>
    <col min="11274" max="11274" width="8.375" style="568" bestFit="1" customWidth="1"/>
    <col min="11275" max="11277" width="8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7" width="7.625" style="568" bestFit="1" customWidth="1"/>
    <col min="11528" max="11528" width="2.25" style="568" bestFit="1" customWidth="1"/>
    <col min="11529" max="11529" width="3.375" style="568" bestFit="1" customWidth="1"/>
    <col min="11530" max="11530" width="8.375" style="568" bestFit="1" customWidth="1"/>
    <col min="11531" max="11533" width="8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3" width="7.625" style="568" bestFit="1" customWidth="1"/>
    <col min="11784" max="11784" width="2.25" style="568" bestFit="1" customWidth="1"/>
    <col min="11785" max="11785" width="3.375" style="568" bestFit="1" customWidth="1"/>
    <col min="11786" max="11786" width="8.375" style="568" bestFit="1" customWidth="1"/>
    <col min="11787" max="11789" width="8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39" width="7.625" style="568" bestFit="1" customWidth="1"/>
    <col min="12040" max="12040" width="2.25" style="568" bestFit="1" customWidth="1"/>
    <col min="12041" max="12041" width="3.375" style="568" bestFit="1" customWidth="1"/>
    <col min="12042" max="12042" width="8.375" style="568" bestFit="1" customWidth="1"/>
    <col min="12043" max="12045" width="8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5" width="7.625" style="568" bestFit="1" customWidth="1"/>
    <col min="12296" max="12296" width="2.25" style="568" bestFit="1" customWidth="1"/>
    <col min="12297" max="12297" width="3.375" style="568" bestFit="1" customWidth="1"/>
    <col min="12298" max="12298" width="8.375" style="568" bestFit="1" customWidth="1"/>
    <col min="12299" max="12301" width="8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1" width="7.625" style="568" bestFit="1" customWidth="1"/>
    <col min="12552" max="12552" width="2.25" style="568" bestFit="1" customWidth="1"/>
    <col min="12553" max="12553" width="3.375" style="568" bestFit="1" customWidth="1"/>
    <col min="12554" max="12554" width="8.375" style="568" bestFit="1" customWidth="1"/>
    <col min="12555" max="12557" width="8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7" width="7.625" style="568" bestFit="1" customWidth="1"/>
    <col min="12808" max="12808" width="2.25" style="568" bestFit="1" customWidth="1"/>
    <col min="12809" max="12809" width="3.375" style="568" bestFit="1" customWidth="1"/>
    <col min="12810" max="12810" width="8.375" style="568" bestFit="1" customWidth="1"/>
    <col min="12811" max="12813" width="8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3" width="7.625" style="568" bestFit="1" customWidth="1"/>
    <col min="13064" max="13064" width="2.25" style="568" bestFit="1" customWidth="1"/>
    <col min="13065" max="13065" width="3.375" style="568" bestFit="1" customWidth="1"/>
    <col min="13066" max="13066" width="8.375" style="568" bestFit="1" customWidth="1"/>
    <col min="13067" max="13069" width="8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19" width="7.625" style="568" bestFit="1" customWidth="1"/>
    <col min="13320" max="13320" width="2.25" style="568" bestFit="1" customWidth="1"/>
    <col min="13321" max="13321" width="3.375" style="568" bestFit="1" customWidth="1"/>
    <col min="13322" max="13322" width="8.375" style="568" bestFit="1" customWidth="1"/>
    <col min="13323" max="13325" width="8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5" width="7.625" style="568" bestFit="1" customWidth="1"/>
    <col min="13576" max="13576" width="2.25" style="568" bestFit="1" customWidth="1"/>
    <col min="13577" max="13577" width="3.375" style="568" bestFit="1" customWidth="1"/>
    <col min="13578" max="13578" width="8.375" style="568" bestFit="1" customWidth="1"/>
    <col min="13579" max="13581" width="8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1" width="7.625" style="568" bestFit="1" customWidth="1"/>
    <col min="13832" max="13832" width="2.25" style="568" bestFit="1" customWidth="1"/>
    <col min="13833" max="13833" width="3.375" style="568" bestFit="1" customWidth="1"/>
    <col min="13834" max="13834" width="8.375" style="568" bestFit="1" customWidth="1"/>
    <col min="13835" max="13837" width="8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7" width="7.625" style="568" bestFit="1" customWidth="1"/>
    <col min="14088" max="14088" width="2.25" style="568" bestFit="1" customWidth="1"/>
    <col min="14089" max="14089" width="3.375" style="568" bestFit="1" customWidth="1"/>
    <col min="14090" max="14090" width="8.375" style="568" bestFit="1" customWidth="1"/>
    <col min="14091" max="14093" width="8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3" width="7.625" style="568" bestFit="1" customWidth="1"/>
    <col min="14344" max="14344" width="2.25" style="568" bestFit="1" customWidth="1"/>
    <col min="14345" max="14345" width="3.375" style="568" bestFit="1" customWidth="1"/>
    <col min="14346" max="14346" width="8.375" style="568" bestFit="1" customWidth="1"/>
    <col min="14347" max="14349" width="8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599" width="7.625" style="568" bestFit="1" customWidth="1"/>
    <col min="14600" max="14600" width="2.25" style="568" bestFit="1" customWidth="1"/>
    <col min="14601" max="14601" width="3.375" style="568" bestFit="1" customWidth="1"/>
    <col min="14602" max="14602" width="8.375" style="568" bestFit="1" customWidth="1"/>
    <col min="14603" max="14605" width="8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5" width="7.625" style="568" bestFit="1" customWidth="1"/>
    <col min="14856" max="14856" width="2.25" style="568" bestFit="1" customWidth="1"/>
    <col min="14857" max="14857" width="3.375" style="568" bestFit="1" customWidth="1"/>
    <col min="14858" max="14858" width="8.375" style="568" bestFit="1" customWidth="1"/>
    <col min="14859" max="14861" width="8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1" width="7.625" style="568" bestFit="1" customWidth="1"/>
    <col min="15112" max="15112" width="2.25" style="568" bestFit="1" customWidth="1"/>
    <col min="15113" max="15113" width="3.375" style="568" bestFit="1" customWidth="1"/>
    <col min="15114" max="15114" width="8.375" style="568" bestFit="1" customWidth="1"/>
    <col min="15115" max="15117" width="8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7" width="7.625" style="568" bestFit="1" customWidth="1"/>
    <col min="15368" max="15368" width="2.25" style="568" bestFit="1" customWidth="1"/>
    <col min="15369" max="15369" width="3.375" style="568" bestFit="1" customWidth="1"/>
    <col min="15370" max="15370" width="8.375" style="568" bestFit="1" customWidth="1"/>
    <col min="15371" max="15373" width="8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3" width="7.625" style="568" bestFit="1" customWidth="1"/>
    <col min="15624" max="15624" width="2.25" style="568" bestFit="1" customWidth="1"/>
    <col min="15625" max="15625" width="3.375" style="568" bestFit="1" customWidth="1"/>
    <col min="15626" max="15626" width="8.375" style="568" bestFit="1" customWidth="1"/>
    <col min="15627" max="15629" width="8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79" width="7.625" style="568" bestFit="1" customWidth="1"/>
    <col min="15880" max="15880" width="2.25" style="568" bestFit="1" customWidth="1"/>
    <col min="15881" max="15881" width="3.375" style="568" bestFit="1" customWidth="1"/>
    <col min="15882" max="15882" width="8.375" style="568" bestFit="1" customWidth="1"/>
    <col min="15883" max="15885" width="8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5" width="7.625" style="568" bestFit="1" customWidth="1"/>
    <col min="16136" max="16136" width="2.25" style="568" bestFit="1" customWidth="1"/>
    <col min="16137" max="16137" width="3.375" style="568" bestFit="1" customWidth="1"/>
    <col min="16138" max="16138" width="8.375" style="568" bestFit="1" customWidth="1"/>
    <col min="16139" max="16141" width="8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754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97</v>
      </c>
      <c r="J9" s="567" t="s">
        <v>1010</v>
      </c>
      <c r="K9" s="567" t="s">
        <v>1002</v>
      </c>
      <c r="L9" s="567" t="s">
        <v>1003</v>
      </c>
      <c r="M9" s="567" t="s">
        <v>1004</v>
      </c>
      <c r="N9" s="567" t="s">
        <v>1005</v>
      </c>
      <c r="O9" s="567" t="s">
        <v>1006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9.7916666666666666E-2</v>
      </c>
      <c r="E10" s="567">
        <v>67680</v>
      </c>
      <c r="F10" s="567" t="s">
        <v>1001</v>
      </c>
      <c r="G10" s="567" t="s">
        <v>326</v>
      </c>
      <c r="H10" s="567">
        <v>0</v>
      </c>
      <c r="I10" s="567">
        <v>97</v>
      </c>
      <c r="J10" s="567" t="s">
        <v>1010</v>
      </c>
      <c r="K10" s="567" t="s">
        <v>1002</v>
      </c>
      <c r="L10" s="567" t="s">
        <v>1003</v>
      </c>
      <c r="M10" s="567" t="s">
        <v>1004</v>
      </c>
      <c r="N10" s="567" t="s">
        <v>1005</v>
      </c>
      <c r="O10" s="567" t="s">
        <v>1006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0.10416666666666667</v>
      </c>
      <c r="E11" s="567">
        <v>4320</v>
      </c>
      <c r="F11" s="567" t="s">
        <v>1001</v>
      </c>
      <c r="G11" s="567" t="s">
        <v>326</v>
      </c>
      <c r="H11" s="567">
        <v>0</v>
      </c>
      <c r="I11" s="567">
        <v>39</v>
      </c>
      <c r="J11" s="567" t="s">
        <v>327</v>
      </c>
      <c r="K11" s="567" t="s">
        <v>1002</v>
      </c>
      <c r="L11" s="567" t="s">
        <v>1003</v>
      </c>
      <c r="M11" s="567" t="s">
        <v>1004</v>
      </c>
      <c r="N11" s="567" t="s">
        <v>1013</v>
      </c>
      <c r="O11" s="567" t="s">
        <v>1014</v>
      </c>
      <c r="P11" s="567" t="s">
        <v>1007</v>
      </c>
      <c r="Q11" s="567" t="s">
        <v>1008</v>
      </c>
      <c r="R11" s="567">
        <v>80</v>
      </c>
    </row>
    <row r="12" spans="1:18" ht="15" x14ac:dyDescent="0.2">
      <c r="A12" s="567"/>
      <c r="B12" s="567"/>
      <c r="C12" s="567"/>
      <c r="D12" s="569">
        <v>0.13680555555555554</v>
      </c>
      <c r="E12" s="567">
        <v>22560</v>
      </c>
      <c r="F12" s="567" t="s">
        <v>1001</v>
      </c>
      <c r="G12" s="567" t="s">
        <v>326</v>
      </c>
      <c r="H12" s="567">
        <v>0</v>
      </c>
      <c r="I12" s="567">
        <v>39</v>
      </c>
      <c r="J12" s="567" t="s">
        <v>327</v>
      </c>
      <c r="K12" s="567" t="s">
        <v>1002</v>
      </c>
      <c r="L12" s="567" t="s">
        <v>1003</v>
      </c>
      <c r="M12" s="567" t="s">
        <v>1004</v>
      </c>
      <c r="N12" s="567" t="s">
        <v>1013</v>
      </c>
      <c r="O12" s="567" t="s">
        <v>1014</v>
      </c>
      <c r="P12" s="567" t="s">
        <v>1009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0.1388888888888889</v>
      </c>
      <c r="E13" s="567">
        <v>1440</v>
      </c>
      <c r="F13" s="567" t="s">
        <v>1001</v>
      </c>
      <c r="G13" s="567" t="s">
        <v>326</v>
      </c>
      <c r="H13" s="567">
        <v>0</v>
      </c>
      <c r="I13" s="567">
        <v>39</v>
      </c>
      <c r="J13" s="567" t="s">
        <v>327</v>
      </c>
      <c r="K13" s="567" t="s">
        <v>1002</v>
      </c>
      <c r="L13" s="567" t="s">
        <v>1003</v>
      </c>
      <c r="M13" s="567" t="s">
        <v>1004</v>
      </c>
      <c r="N13" s="567" t="s">
        <v>1011</v>
      </c>
      <c r="O13" s="567" t="s">
        <v>1012</v>
      </c>
      <c r="P13" s="567" t="s">
        <v>1007</v>
      </c>
      <c r="Q13" s="567" t="s">
        <v>1008</v>
      </c>
      <c r="R13" s="567">
        <v>80</v>
      </c>
    </row>
    <row r="14" spans="1:18" ht="15" x14ac:dyDescent="0.2">
      <c r="A14" s="567"/>
      <c r="B14" s="567"/>
      <c r="C14" s="567"/>
      <c r="D14" s="569">
        <v>0.17740740740740743</v>
      </c>
      <c r="E14" s="567">
        <v>26624</v>
      </c>
      <c r="F14" s="567" t="s">
        <v>1001</v>
      </c>
      <c r="G14" s="567" t="s">
        <v>326</v>
      </c>
      <c r="H14" s="567">
        <v>0</v>
      </c>
      <c r="I14" s="567">
        <v>39</v>
      </c>
      <c r="J14" s="567" t="s">
        <v>327</v>
      </c>
      <c r="K14" s="567" t="s">
        <v>1002</v>
      </c>
      <c r="L14" s="567" t="s">
        <v>1003</v>
      </c>
      <c r="M14" s="567" t="s">
        <v>1004</v>
      </c>
      <c r="N14" s="567" t="s">
        <v>1011</v>
      </c>
      <c r="O14" s="567" t="s">
        <v>1012</v>
      </c>
      <c r="P14" s="567" t="s">
        <v>1009</v>
      </c>
      <c r="Q14" s="567" t="s">
        <v>1008</v>
      </c>
      <c r="R14" s="567">
        <v>80</v>
      </c>
    </row>
    <row r="15" spans="1:18" ht="15" x14ac:dyDescent="0.2">
      <c r="A15" s="567"/>
      <c r="B15" s="567"/>
      <c r="C15" s="567"/>
      <c r="D15" s="569">
        <v>0.17986111111111111</v>
      </c>
      <c r="E15" s="567">
        <v>1696</v>
      </c>
      <c r="F15" s="567" t="s">
        <v>1001</v>
      </c>
      <c r="G15" s="567" t="s">
        <v>326</v>
      </c>
      <c r="H15" s="567">
        <v>0</v>
      </c>
      <c r="I15" s="567">
        <v>97</v>
      </c>
      <c r="J15" s="567" t="s">
        <v>1010</v>
      </c>
      <c r="K15" s="567" t="s">
        <v>1002</v>
      </c>
      <c r="L15" s="567" t="s">
        <v>1003</v>
      </c>
      <c r="M15" s="567" t="s">
        <v>1004</v>
      </c>
      <c r="N15" s="567" t="s">
        <v>1011</v>
      </c>
      <c r="O15" s="567" t="s">
        <v>1012</v>
      </c>
      <c r="P15" s="567" t="s">
        <v>1007</v>
      </c>
      <c r="Q15" s="567" t="s">
        <v>1008</v>
      </c>
      <c r="R15" s="567">
        <v>80</v>
      </c>
    </row>
    <row r="16" spans="1:18" ht="15" x14ac:dyDescent="0.2">
      <c r="A16" s="567"/>
      <c r="B16" s="567"/>
      <c r="C16" s="567"/>
      <c r="D16" s="569">
        <v>0.32347222222222222</v>
      </c>
      <c r="E16" s="567">
        <v>99264</v>
      </c>
      <c r="F16" s="567" t="s">
        <v>1001</v>
      </c>
      <c r="G16" s="567" t="s">
        <v>326</v>
      </c>
      <c r="H16" s="567">
        <v>0</v>
      </c>
      <c r="I16" s="567">
        <v>97</v>
      </c>
      <c r="J16" s="567" t="s">
        <v>1010</v>
      </c>
      <c r="K16" s="567" t="s">
        <v>1002</v>
      </c>
      <c r="L16" s="567" t="s">
        <v>1003</v>
      </c>
      <c r="M16" s="567" t="s">
        <v>1004</v>
      </c>
      <c r="N16" s="567" t="s">
        <v>1011</v>
      </c>
      <c r="O16" s="567" t="s">
        <v>1012</v>
      </c>
      <c r="P16" s="567" t="s">
        <v>1009</v>
      </c>
      <c r="Q16" s="567" t="s">
        <v>1008</v>
      </c>
      <c r="R16" s="567">
        <v>80</v>
      </c>
    </row>
    <row r="17" spans="1:6" ht="15" x14ac:dyDescent="0.2">
      <c r="A17" s="567"/>
      <c r="B17" s="567"/>
      <c r="C17" s="567"/>
      <c r="D17" s="569">
        <v>0.32347222222222222</v>
      </c>
      <c r="E17" s="567">
        <v>0</v>
      </c>
      <c r="F17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3"/>
  <sheetViews>
    <sheetView workbookViewId="0"/>
  </sheetViews>
  <sheetFormatPr defaultColWidth="9"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7" width="7.625" style="568" bestFit="1" customWidth="1"/>
    <col min="8" max="8" width="2.25" style="568" bestFit="1" customWidth="1"/>
    <col min="9" max="9" width="3.375" style="568" bestFit="1" customWidth="1"/>
    <col min="10" max="10" width="8.375" style="568" bestFit="1" customWidth="1"/>
    <col min="11" max="12" width="8.875" style="568" bestFit="1" customWidth="1"/>
    <col min="13" max="13" width="11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16384" width="9" style="568"/>
  </cols>
  <sheetData>
    <row r="2" spans="1:18" ht="15" x14ac:dyDescent="0.2">
      <c r="A2" s="570"/>
      <c r="B2" s="570" t="s">
        <v>320</v>
      </c>
      <c r="C2" s="570">
        <v>758</v>
      </c>
    </row>
    <row r="7" spans="1:18" ht="15" x14ac:dyDescent="0.2">
      <c r="A7" s="570"/>
      <c r="B7" s="570"/>
      <c r="C7" s="570"/>
      <c r="D7" s="570" t="s">
        <v>321</v>
      </c>
      <c r="E7" s="570" t="s">
        <v>322</v>
      </c>
      <c r="F7" s="570" t="s">
        <v>323</v>
      </c>
    </row>
    <row r="9" spans="1:18" ht="15" x14ac:dyDescent="0.2">
      <c r="A9" s="570"/>
      <c r="B9" s="570"/>
      <c r="C9" s="570"/>
      <c r="D9" s="571">
        <v>0</v>
      </c>
      <c r="E9" s="570">
        <v>0</v>
      </c>
      <c r="F9" s="570" t="s">
        <v>1001</v>
      </c>
      <c r="G9" s="570" t="s">
        <v>326</v>
      </c>
      <c r="H9" s="570">
        <v>0</v>
      </c>
      <c r="I9" s="570">
        <v>39</v>
      </c>
      <c r="J9" s="570" t="s">
        <v>327</v>
      </c>
      <c r="K9" s="570" t="s">
        <v>1002</v>
      </c>
      <c r="L9" s="570" t="s">
        <v>1003</v>
      </c>
      <c r="M9" s="570" t="s">
        <v>331</v>
      </c>
      <c r="N9" s="570" t="s">
        <v>1011</v>
      </c>
      <c r="O9" s="570" t="s">
        <v>1012</v>
      </c>
      <c r="P9" s="570" t="s">
        <v>1009</v>
      </c>
      <c r="Q9" s="570" t="s">
        <v>1008</v>
      </c>
      <c r="R9" s="570">
        <v>80</v>
      </c>
    </row>
    <row r="10" spans="1:18" ht="15" x14ac:dyDescent="0.2">
      <c r="A10" s="570"/>
      <c r="B10" s="570"/>
      <c r="C10" s="570"/>
      <c r="D10" s="571">
        <v>5.5555555555555558E-3</v>
      </c>
      <c r="E10" s="570">
        <v>3840</v>
      </c>
      <c r="F10" s="570" t="s">
        <v>1001</v>
      </c>
      <c r="G10" s="570" t="s">
        <v>326</v>
      </c>
      <c r="H10" s="570">
        <v>0</v>
      </c>
      <c r="I10" s="570">
        <v>39</v>
      </c>
      <c r="J10" s="570" t="s">
        <v>327</v>
      </c>
      <c r="K10" s="570" t="s">
        <v>1002</v>
      </c>
      <c r="L10" s="570" t="s">
        <v>1003</v>
      </c>
      <c r="M10" s="570" t="s">
        <v>331</v>
      </c>
      <c r="N10" s="570" t="s">
        <v>1011</v>
      </c>
      <c r="O10" s="570" t="s">
        <v>1012</v>
      </c>
      <c r="P10" s="570" t="s">
        <v>1007</v>
      </c>
      <c r="Q10" s="570" t="s">
        <v>1008</v>
      </c>
      <c r="R10" s="570">
        <v>80</v>
      </c>
    </row>
    <row r="11" spans="1:18" ht="15" x14ac:dyDescent="0.2">
      <c r="A11" s="570"/>
      <c r="B11" s="570"/>
      <c r="C11" s="570"/>
      <c r="D11" s="571">
        <v>7.6388888888888895E-2</v>
      </c>
      <c r="E11" s="570">
        <v>48960</v>
      </c>
      <c r="F11" s="570" t="s">
        <v>1001</v>
      </c>
      <c r="G11" s="570" t="s">
        <v>326</v>
      </c>
      <c r="H11" s="570">
        <v>0</v>
      </c>
      <c r="I11" s="570">
        <v>39</v>
      </c>
      <c r="J11" s="570" t="s">
        <v>327</v>
      </c>
      <c r="K11" s="570" t="s">
        <v>1002</v>
      </c>
      <c r="L11" s="570" t="s">
        <v>1003</v>
      </c>
      <c r="M11" s="570" t="s">
        <v>331</v>
      </c>
      <c r="N11" s="570" t="s">
        <v>1011</v>
      </c>
      <c r="O11" s="570" t="s">
        <v>1012</v>
      </c>
      <c r="P11" s="570" t="s">
        <v>1009</v>
      </c>
      <c r="Q11" s="570" t="s">
        <v>1008</v>
      </c>
      <c r="R11" s="570">
        <v>80</v>
      </c>
    </row>
    <row r="12" spans="1:18" ht="15" x14ac:dyDescent="0.2">
      <c r="A12" s="570"/>
      <c r="B12" s="570"/>
      <c r="C12" s="570"/>
      <c r="D12" s="571">
        <v>8.1944444444444445E-2</v>
      </c>
      <c r="E12" s="570">
        <v>3840</v>
      </c>
      <c r="F12" s="570" t="s">
        <v>1001</v>
      </c>
      <c r="G12" s="570" t="s">
        <v>326</v>
      </c>
      <c r="H12" s="570">
        <v>0</v>
      </c>
      <c r="I12" s="570">
        <v>39</v>
      </c>
      <c r="J12" s="570" t="s">
        <v>327</v>
      </c>
      <c r="K12" s="570" t="s">
        <v>1002</v>
      </c>
      <c r="L12" s="570" t="s">
        <v>1003</v>
      </c>
      <c r="M12" s="570" t="s">
        <v>331</v>
      </c>
      <c r="N12" s="570" t="s">
        <v>1011</v>
      </c>
      <c r="O12" s="570" t="s">
        <v>1012</v>
      </c>
      <c r="P12" s="570" t="s">
        <v>1007</v>
      </c>
      <c r="Q12" s="570" t="s">
        <v>1008</v>
      </c>
      <c r="R12" s="570">
        <v>80</v>
      </c>
    </row>
    <row r="13" spans="1:18" ht="15" x14ac:dyDescent="0.2">
      <c r="A13" s="570"/>
      <c r="B13" s="570"/>
      <c r="C13" s="570"/>
      <c r="D13" s="571">
        <v>8.1944444444444445E-2</v>
      </c>
      <c r="E13" s="570">
        <v>0</v>
      </c>
      <c r="F13" s="570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"/>
  <sheetViews>
    <sheetView workbookViewId="0"/>
  </sheetViews>
  <sheetFormatPr defaultColWidth="9"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7" width="7.625" style="568" bestFit="1" customWidth="1"/>
    <col min="8" max="8" width="2.25" style="568" bestFit="1" customWidth="1"/>
    <col min="9" max="9" width="3.375" style="568" bestFit="1" customWidth="1"/>
    <col min="10" max="10" width="8.375" style="568" bestFit="1" customWidth="1"/>
    <col min="11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16384" width="9" style="568"/>
  </cols>
  <sheetData>
    <row r="2" spans="1:18" ht="15" x14ac:dyDescent="0.2">
      <c r="A2" s="570"/>
      <c r="B2" s="570" t="s">
        <v>320</v>
      </c>
      <c r="C2" s="570">
        <v>759</v>
      </c>
    </row>
    <row r="7" spans="1:18" ht="15" x14ac:dyDescent="0.2">
      <c r="A7" s="570"/>
      <c r="B7" s="570"/>
      <c r="C7" s="570"/>
      <c r="D7" s="570" t="s">
        <v>321</v>
      </c>
      <c r="E7" s="570" t="s">
        <v>322</v>
      </c>
      <c r="F7" s="570" t="s">
        <v>323</v>
      </c>
    </row>
    <row r="9" spans="1:18" ht="15" x14ac:dyDescent="0.2">
      <c r="A9" s="570"/>
      <c r="B9" s="570"/>
      <c r="C9" s="570"/>
      <c r="D9" s="571">
        <v>0</v>
      </c>
      <c r="E9" s="570">
        <v>0</v>
      </c>
      <c r="F9" s="570" t="s">
        <v>1001</v>
      </c>
      <c r="G9" s="570" t="s">
        <v>326</v>
      </c>
      <c r="H9" s="570">
        <v>0</v>
      </c>
      <c r="I9" s="570">
        <v>39</v>
      </c>
      <c r="J9" s="570" t="s">
        <v>327</v>
      </c>
      <c r="K9" s="570" t="s">
        <v>1002</v>
      </c>
      <c r="L9" s="570" t="s">
        <v>1003</v>
      </c>
      <c r="M9" s="570" t="s">
        <v>1004</v>
      </c>
      <c r="N9" s="570" t="s">
        <v>1011</v>
      </c>
      <c r="O9" s="570" t="s">
        <v>1012</v>
      </c>
      <c r="P9" s="570" t="s">
        <v>1007</v>
      </c>
      <c r="Q9" s="570" t="s">
        <v>1008</v>
      </c>
      <c r="R9" s="570">
        <v>80</v>
      </c>
    </row>
    <row r="10" spans="1:18" ht="15" x14ac:dyDescent="0.2">
      <c r="A10" s="570"/>
      <c r="B10" s="570"/>
      <c r="C10" s="570"/>
      <c r="D10" s="571">
        <v>2.2916666666666669E-2</v>
      </c>
      <c r="E10" s="570">
        <v>15840</v>
      </c>
      <c r="F10" s="570" t="s">
        <v>1001</v>
      </c>
      <c r="G10" s="570" t="s">
        <v>326</v>
      </c>
      <c r="H10" s="570">
        <v>0</v>
      </c>
      <c r="I10" s="570">
        <v>39</v>
      </c>
      <c r="J10" s="570" t="s">
        <v>327</v>
      </c>
      <c r="K10" s="570" t="s">
        <v>1002</v>
      </c>
      <c r="L10" s="570" t="s">
        <v>1003</v>
      </c>
      <c r="M10" s="570" t="s">
        <v>1004</v>
      </c>
      <c r="N10" s="570" t="s">
        <v>1011</v>
      </c>
      <c r="O10" s="570" t="s">
        <v>1012</v>
      </c>
      <c r="P10" s="570" t="s">
        <v>1009</v>
      </c>
      <c r="Q10" s="570" t="s">
        <v>1008</v>
      </c>
      <c r="R10" s="570">
        <v>80</v>
      </c>
    </row>
    <row r="11" spans="1:18" ht="15" x14ac:dyDescent="0.2">
      <c r="A11" s="570"/>
      <c r="B11" s="570"/>
      <c r="C11" s="570"/>
      <c r="D11" s="571">
        <v>2.6388888888888889E-2</v>
      </c>
      <c r="E11" s="570">
        <v>2400</v>
      </c>
      <c r="F11" s="570" t="s">
        <v>1001</v>
      </c>
      <c r="G11" s="570" t="s">
        <v>326</v>
      </c>
      <c r="H11" s="570">
        <v>0</v>
      </c>
      <c r="I11" s="570">
        <v>39</v>
      </c>
      <c r="J11" s="570" t="s">
        <v>327</v>
      </c>
      <c r="K11" s="570" t="s">
        <v>1002</v>
      </c>
      <c r="L11" s="570" t="s">
        <v>1003</v>
      </c>
      <c r="M11" s="570" t="s">
        <v>1004</v>
      </c>
      <c r="N11" s="570" t="s">
        <v>1011</v>
      </c>
      <c r="O11" s="570" t="s">
        <v>1012</v>
      </c>
      <c r="P11" s="570" t="s">
        <v>1007</v>
      </c>
      <c r="Q11" s="570" t="s">
        <v>1008</v>
      </c>
      <c r="R11" s="570">
        <v>80</v>
      </c>
    </row>
    <row r="12" spans="1:18" ht="15" x14ac:dyDescent="0.2">
      <c r="A12" s="570"/>
      <c r="B12" s="570"/>
      <c r="C12" s="570"/>
      <c r="D12" s="571">
        <v>7.013888888888889E-2</v>
      </c>
      <c r="E12" s="570">
        <v>30240</v>
      </c>
      <c r="F12" s="570" t="s">
        <v>1001</v>
      </c>
      <c r="G12" s="570" t="s">
        <v>326</v>
      </c>
      <c r="H12" s="570">
        <v>0</v>
      </c>
      <c r="I12" s="570">
        <v>39</v>
      </c>
      <c r="J12" s="570" t="s">
        <v>327</v>
      </c>
      <c r="K12" s="570" t="s">
        <v>1002</v>
      </c>
      <c r="L12" s="570" t="s">
        <v>1003</v>
      </c>
      <c r="M12" s="570" t="s">
        <v>1004</v>
      </c>
      <c r="N12" s="570" t="s">
        <v>1011</v>
      </c>
      <c r="O12" s="570" t="s">
        <v>1012</v>
      </c>
      <c r="P12" s="570" t="s">
        <v>1009</v>
      </c>
      <c r="Q12" s="570" t="s">
        <v>1008</v>
      </c>
      <c r="R12" s="570">
        <v>80</v>
      </c>
    </row>
    <row r="13" spans="1:18" ht="15" x14ac:dyDescent="0.2">
      <c r="A13" s="570"/>
      <c r="B13" s="570"/>
      <c r="C13" s="570"/>
      <c r="D13" s="571">
        <v>7.3611111111111113E-2</v>
      </c>
      <c r="E13" s="570">
        <v>2400</v>
      </c>
      <c r="F13" s="570" t="s">
        <v>1001</v>
      </c>
      <c r="G13" s="570" t="s">
        <v>326</v>
      </c>
      <c r="H13" s="570">
        <v>0</v>
      </c>
      <c r="I13" s="570">
        <v>39</v>
      </c>
      <c r="J13" s="570" t="s">
        <v>327</v>
      </c>
      <c r="K13" s="570" t="s">
        <v>1002</v>
      </c>
      <c r="L13" s="570" t="s">
        <v>1003</v>
      </c>
      <c r="M13" s="570" t="s">
        <v>1004</v>
      </c>
      <c r="N13" s="570" t="s">
        <v>1011</v>
      </c>
      <c r="O13" s="570" t="s">
        <v>1012</v>
      </c>
      <c r="P13" s="570" t="s">
        <v>1007</v>
      </c>
      <c r="Q13" s="570" t="s">
        <v>1008</v>
      </c>
      <c r="R13" s="570">
        <v>80</v>
      </c>
    </row>
    <row r="14" spans="1:18" ht="15" x14ac:dyDescent="0.2">
      <c r="A14" s="570"/>
      <c r="B14" s="570"/>
      <c r="C14" s="570"/>
      <c r="D14" s="571">
        <v>7.3611111111111113E-2</v>
      </c>
      <c r="E14" s="570">
        <v>0</v>
      </c>
      <c r="F14" s="570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"/>
  <sheetViews>
    <sheetView workbookViewId="0"/>
  </sheetViews>
  <sheetFormatPr defaultColWidth="9"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7" width="7.625" style="568" bestFit="1" customWidth="1"/>
    <col min="8" max="8" width="2.25" style="568" bestFit="1" customWidth="1"/>
    <col min="9" max="9" width="3.375" style="568" bestFit="1" customWidth="1"/>
    <col min="10" max="10" width="8.375" style="568" bestFit="1" customWidth="1"/>
    <col min="11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16384" width="9" style="568"/>
  </cols>
  <sheetData>
    <row r="2" spans="1:18" ht="15" x14ac:dyDescent="0.2">
      <c r="A2" s="570"/>
      <c r="B2" s="570" t="s">
        <v>320</v>
      </c>
      <c r="C2" s="570">
        <v>760</v>
      </c>
    </row>
    <row r="7" spans="1:18" ht="15" x14ac:dyDescent="0.2">
      <c r="A7" s="570"/>
      <c r="B7" s="570"/>
      <c r="C7" s="570"/>
      <c r="D7" s="570" t="s">
        <v>321</v>
      </c>
      <c r="E7" s="570" t="s">
        <v>322</v>
      </c>
      <c r="F7" s="570" t="s">
        <v>323</v>
      </c>
    </row>
    <row r="9" spans="1:18" ht="15" x14ac:dyDescent="0.2">
      <c r="A9" s="570"/>
      <c r="B9" s="570"/>
      <c r="C9" s="570"/>
      <c r="D9" s="571">
        <v>0</v>
      </c>
      <c r="E9" s="570">
        <v>0</v>
      </c>
      <c r="F9" s="570" t="s">
        <v>1001</v>
      </c>
      <c r="G9" s="570" t="s">
        <v>326</v>
      </c>
      <c r="H9" s="570">
        <v>0</v>
      </c>
      <c r="I9" s="570">
        <v>39</v>
      </c>
      <c r="J9" s="570" t="s">
        <v>327</v>
      </c>
      <c r="K9" s="570" t="s">
        <v>1002</v>
      </c>
      <c r="L9" s="570" t="s">
        <v>1003</v>
      </c>
      <c r="M9" s="570" t="s">
        <v>1004</v>
      </c>
      <c r="N9" s="570" t="s">
        <v>1011</v>
      </c>
      <c r="O9" s="570" t="s">
        <v>1012</v>
      </c>
      <c r="P9" s="570" t="s">
        <v>1009</v>
      </c>
      <c r="Q9" s="570" t="s">
        <v>1008</v>
      </c>
      <c r="R9" s="570">
        <v>80</v>
      </c>
    </row>
    <row r="10" spans="1:18" ht="15" x14ac:dyDescent="0.2">
      <c r="A10" s="570"/>
      <c r="B10" s="570"/>
      <c r="C10" s="570"/>
      <c r="D10" s="571">
        <v>6.9444444444444441E-3</v>
      </c>
      <c r="E10" s="570">
        <v>4800</v>
      </c>
      <c r="F10" s="570" t="s">
        <v>1001</v>
      </c>
      <c r="G10" s="570" t="s">
        <v>326</v>
      </c>
      <c r="H10" s="570">
        <v>0</v>
      </c>
      <c r="I10" s="570">
        <v>39</v>
      </c>
      <c r="J10" s="570" t="s">
        <v>327</v>
      </c>
      <c r="K10" s="570" t="s">
        <v>1002</v>
      </c>
      <c r="L10" s="570" t="s">
        <v>1003</v>
      </c>
      <c r="M10" s="570" t="s">
        <v>1004</v>
      </c>
      <c r="N10" s="570" t="s">
        <v>1011</v>
      </c>
      <c r="O10" s="570" t="s">
        <v>1012</v>
      </c>
      <c r="P10" s="570" t="s">
        <v>1007</v>
      </c>
      <c r="Q10" s="570" t="s">
        <v>1008</v>
      </c>
      <c r="R10" s="570">
        <v>80</v>
      </c>
    </row>
    <row r="11" spans="1:18" ht="15" x14ac:dyDescent="0.2">
      <c r="A11" s="570"/>
      <c r="B11" s="570"/>
      <c r="C11" s="570"/>
      <c r="D11" s="571">
        <v>2.4305555555555556E-2</v>
      </c>
      <c r="E11" s="570">
        <v>12000</v>
      </c>
      <c r="F11" s="570" t="s">
        <v>1001</v>
      </c>
      <c r="G11" s="570" t="s">
        <v>326</v>
      </c>
      <c r="H11" s="570">
        <v>0</v>
      </c>
      <c r="I11" s="570">
        <v>39</v>
      </c>
      <c r="J11" s="570" t="s">
        <v>327</v>
      </c>
      <c r="K11" s="570" t="s">
        <v>1002</v>
      </c>
      <c r="L11" s="570" t="s">
        <v>1003</v>
      </c>
      <c r="M11" s="570" t="s">
        <v>1004</v>
      </c>
      <c r="N11" s="570" t="s">
        <v>1011</v>
      </c>
      <c r="O11" s="570" t="s">
        <v>1012</v>
      </c>
      <c r="P11" s="570" t="s">
        <v>1009</v>
      </c>
      <c r="Q11" s="570" t="s">
        <v>1008</v>
      </c>
      <c r="R11" s="570">
        <v>80</v>
      </c>
    </row>
    <row r="12" spans="1:18" ht="15" x14ac:dyDescent="0.2">
      <c r="A12" s="570"/>
      <c r="B12" s="570"/>
      <c r="C12" s="570"/>
      <c r="D12" s="571">
        <v>2.7777777777777776E-2</v>
      </c>
      <c r="E12" s="570">
        <v>2400</v>
      </c>
      <c r="F12" s="570" t="s">
        <v>1001</v>
      </c>
      <c r="G12" s="570" t="s">
        <v>326</v>
      </c>
      <c r="H12" s="570">
        <v>0</v>
      </c>
      <c r="I12" s="570">
        <v>39</v>
      </c>
      <c r="J12" s="570" t="s">
        <v>327</v>
      </c>
      <c r="K12" s="570" t="s">
        <v>1002</v>
      </c>
      <c r="L12" s="570" t="s">
        <v>1003</v>
      </c>
      <c r="M12" s="570" t="s">
        <v>1004</v>
      </c>
      <c r="N12" s="570" t="s">
        <v>1011</v>
      </c>
      <c r="O12" s="570" t="s">
        <v>1012</v>
      </c>
      <c r="P12" s="570" t="s">
        <v>1007</v>
      </c>
      <c r="Q12" s="570" t="s">
        <v>1008</v>
      </c>
      <c r="R12" s="570">
        <v>80</v>
      </c>
    </row>
    <row r="13" spans="1:18" ht="15" x14ac:dyDescent="0.2">
      <c r="A13" s="570"/>
      <c r="B13" s="570"/>
      <c r="C13" s="570"/>
      <c r="D13" s="571">
        <v>9.7222222222222224E-2</v>
      </c>
      <c r="E13" s="570">
        <v>48000</v>
      </c>
      <c r="F13" s="570" t="s">
        <v>1001</v>
      </c>
      <c r="G13" s="570" t="s">
        <v>326</v>
      </c>
      <c r="H13" s="570">
        <v>0</v>
      </c>
      <c r="I13" s="570">
        <v>39</v>
      </c>
      <c r="J13" s="570" t="s">
        <v>327</v>
      </c>
      <c r="K13" s="570" t="s">
        <v>1002</v>
      </c>
      <c r="L13" s="570" t="s">
        <v>1003</v>
      </c>
      <c r="M13" s="570" t="s">
        <v>1004</v>
      </c>
      <c r="N13" s="570" t="s">
        <v>1011</v>
      </c>
      <c r="O13" s="570" t="s">
        <v>1012</v>
      </c>
      <c r="P13" s="570" t="s">
        <v>1009</v>
      </c>
      <c r="Q13" s="570" t="s">
        <v>1008</v>
      </c>
      <c r="R13" s="570">
        <v>80</v>
      </c>
    </row>
    <row r="14" spans="1:18" ht="15" x14ac:dyDescent="0.2">
      <c r="A14" s="570"/>
      <c r="B14" s="570"/>
      <c r="C14" s="570"/>
      <c r="D14" s="571">
        <v>0.10069444444444443</v>
      </c>
      <c r="E14" s="570">
        <v>2400</v>
      </c>
      <c r="F14" s="570" t="s">
        <v>1001</v>
      </c>
      <c r="G14" s="570" t="s">
        <v>326</v>
      </c>
      <c r="H14" s="570">
        <v>0</v>
      </c>
      <c r="I14" s="570">
        <v>39</v>
      </c>
      <c r="J14" s="570" t="s">
        <v>327</v>
      </c>
      <c r="K14" s="570" t="s">
        <v>1002</v>
      </c>
      <c r="L14" s="570" t="s">
        <v>1003</v>
      </c>
      <c r="M14" s="570" t="s">
        <v>1004</v>
      </c>
      <c r="N14" s="570" t="s">
        <v>1011</v>
      </c>
      <c r="O14" s="570" t="s">
        <v>1012</v>
      </c>
      <c r="P14" s="570" t="s">
        <v>1007</v>
      </c>
      <c r="Q14" s="570" t="s">
        <v>1008</v>
      </c>
      <c r="R14" s="570">
        <v>80</v>
      </c>
    </row>
    <row r="15" spans="1:18" ht="15" x14ac:dyDescent="0.2">
      <c r="A15" s="570"/>
      <c r="B15" s="570"/>
      <c r="C15" s="570"/>
      <c r="D15" s="571">
        <v>0.10069444444444443</v>
      </c>
      <c r="E15" s="570">
        <v>0</v>
      </c>
      <c r="F15" s="570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"/>
  <sheetViews>
    <sheetView workbookViewId="0"/>
  </sheetViews>
  <sheetFormatPr defaultColWidth="11.375" defaultRowHeight="15" x14ac:dyDescent="0.2"/>
  <cols>
    <col min="1" max="1" width="6.375" style="14" bestFit="1" customWidth="1"/>
    <col min="2" max="2" width="45.125" style="14" bestFit="1" customWidth="1"/>
    <col min="3" max="3" width="41.375" style="14" bestFit="1" customWidth="1"/>
    <col min="4" max="4" width="8.625" style="14" customWidth="1"/>
    <col min="5" max="5" width="10.875" style="14" bestFit="1" customWidth="1"/>
    <col min="6" max="6" width="6.375" style="14" customWidth="1"/>
    <col min="7" max="7" width="3.875" style="14" bestFit="1" customWidth="1"/>
    <col min="8" max="8" width="2.375" style="14" bestFit="1" customWidth="1"/>
    <col min="9" max="9" width="6.625" style="14" customWidth="1"/>
    <col min="10" max="10" width="12.875" style="14" bestFit="1" customWidth="1"/>
    <col min="11" max="16384" width="11.375" style="14"/>
  </cols>
  <sheetData>
    <row r="1" spans="1:10" ht="15.75" thickBot="1" x14ac:dyDescent="0.25">
      <c r="A1" s="70"/>
      <c r="B1" s="70"/>
      <c r="C1" s="70"/>
      <c r="D1" s="70"/>
      <c r="E1" s="70"/>
      <c r="F1" s="70"/>
      <c r="G1" s="70"/>
    </row>
    <row r="2" spans="1:10" x14ac:dyDescent="0.2">
      <c r="A2" s="70"/>
      <c r="B2" s="587" t="s">
        <v>17</v>
      </c>
      <c r="C2" s="589" t="s">
        <v>7</v>
      </c>
      <c r="D2" s="593" t="s">
        <v>210</v>
      </c>
      <c r="E2" s="594"/>
      <c r="F2" s="70"/>
      <c r="G2" s="70"/>
    </row>
    <row r="3" spans="1:10" ht="15.75" thickBot="1" x14ac:dyDescent="0.25">
      <c r="A3" s="70"/>
      <c r="B3" s="588"/>
      <c r="C3" s="590"/>
      <c r="D3" s="595"/>
      <c r="E3" s="596"/>
      <c r="F3" s="70"/>
      <c r="G3" s="70"/>
    </row>
    <row r="4" spans="1:10" x14ac:dyDescent="0.2">
      <c r="A4" s="70"/>
      <c r="B4" s="74"/>
      <c r="C4" s="75"/>
      <c r="D4" s="597"/>
      <c r="E4" s="598"/>
      <c r="F4" s="70"/>
      <c r="G4" s="70"/>
    </row>
    <row r="5" spans="1:10" ht="18" x14ac:dyDescent="0.25">
      <c r="A5" s="21">
        <v>1</v>
      </c>
      <c r="B5" s="45" t="s">
        <v>365</v>
      </c>
      <c r="C5" s="474">
        <v>235232235</v>
      </c>
      <c r="D5" s="599" t="str">
        <f>IF(LEN(C5)&gt;3,"ü",IF(C5="","",IF(C5&gt;=0,IF(C5&lt;=597,"ü",""),"")))</f>
        <v>ü</v>
      </c>
      <c r="E5" s="592"/>
      <c r="F5" s="70"/>
      <c r="G5" s="70">
        <f>IF(LEN(C5)&gt;3,0,IF(C5="","",IF(C5&gt;=0,IF(C5&lt;=597,0,1),1)))</f>
        <v>0</v>
      </c>
      <c r="J5" s="77" t="str">
        <f t="shared" ref="J5:J51" si="0">IF(D5="","Not Done","Done")</f>
        <v>Done</v>
      </c>
    </row>
    <row r="6" spans="1:10" ht="18" x14ac:dyDescent="0.25">
      <c r="A6" s="21">
        <v>2</v>
      </c>
      <c r="B6" s="45" t="s">
        <v>369</v>
      </c>
      <c r="C6" s="76">
        <v>572</v>
      </c>
      <c r="D6" s="599" t="str">
        <f t="shared" ref="D6:D69" si="1">IF(LEN(C6)&gt;3,"ü",IF(C6="","",IF(C6&gt;=0,IF(C6&lt;=597,"ü",""),"")))</f>
        <v>ü</v>
      </c>
      <c r="E6" s="592"/>
      <c r="F6" s="70"/>
      <c r="G6" s="70">
        <f t="shared" ref="G6:G69" si="2">IF(LEN(C6)&gt;3,0,IF(C6="","",IF(C6&gt;=0,IF(C6&lt;=597,0,1),1)))</f>
        <v>0</v>
      </c>
      <c r="J6" s="77" t="str">
        <f t="shared" si="0"/>
        <v>Done</v>
      </c>
    </row>
    <row r="7" spans="1:10" ht="18" x14ac:dyDescent="0.25">
      <c r="A7" s="21">
        <v>3</v>
      </c>
      <c r="B7" s="45" t="s">
        <v>371</v>
      </c>
      <c r="C7" s="76">
        <v>752</v>
      </c>
      <c r="D7" s="599" t="str">
        <f t="shared" si="1"/>
        <v/>
      </c>
      <c r="E7" s="592"/>
      <c r="G7" s="70">
        <f t="shared" si="2"/>
        <v>1</v>
      </c>
      <c r="J7" s="77" t="str">
        <f t="shared" si="0"/>
        <v>Not Done</v>
      </c>
    </row>
    <row r="8" spans="1:10" ht="18" x14ac:dyDescent="0.25">
      <c r="A8" s="21">
        <v>4</v>
      </c>
      <c r="B8" s="45" t="s">
        <v>372</v>
      </c>
      <c r="C8" s="76">
        <v>472</v>
      </c>
      <c r="D8" s="599" t="str">
        <f t="shared" si="1"/>
        <v>ü</v>
      </c>
      <c r="E8" s="592"/>
      <c r="G8" s="70">
        <f t="shared" si="2"/>
        <v>0</v>
      </c>
      <c r="J8" s="77" t="str">
        <f t="shared" si="0"/>
        <v>Done</v>
      </c>
    </row>
    <row r="9" spans="1:10" ht="18" x14ac:dyDescent="0.25">
      <c r="A9" s="21">
        <v>5</v>
      </c>
      <c r="B9" s="45" t="s">
        <v>373</v>
      </c>
      <c r="C9" s="78">
        <v>754</v>
      </c>
      <c r="D9" s="591" t="str">
        <f t="shared" si="1"/>
        <v/>
      </c>
      <c r="E9" s="592"/>
      <c r="G9" s="70">
        <f t="shared" si="2"/>
        <v>1</v>
      </c>
      <c r="J9" s="77" t="str">
        <f t="shared" si="0"/>
        <v>Not Done</v>
      </c>
    </row>
    <row r="10" spans="1:10" ht="18" x14ac:dyDescent="0.25">
      <c r="A10" s="21">
        <v>6</v>
      </c>
      <c r="B10" s="45" t="s">
        <v>374</v>
      </c>
      <c r="C10" s="512" t="s">
        <v>676</v>
      </c>
      <c r="D10" s="591" t="str">
        <f t="shared" si="1"/>
        <v>ü</v>
      </c>
      <c r="E10" s="592"/>
      <c r="G10" s="70">
        <f t="shared" si="2"/>
        <v>0</v>
      </c>
      <c r="J10" s="77" t="str">
        <f t="shared" si="0"/>
        <v>Done</v>
      </c>
    </row>
    <row r="11" spans="1:10" ht="18" x14ac:dyDescent="0.25">
      <c r="A11" s="21">
        <v>7</v>
      </c>
      <c r="B11" s="45" t="s">
        <v>378</v>
      </c>
      <c r="C11" s="72">
        <v>405</v>
      </c>
      <c r="D11" s="591" t="str">
        <f t="shared" si="1"/>
        <v>ü</v>
      </c>
      <c r="E11" s="592"/>
      <c r="G11" s="70">
        <f t="shared" si="2"/>
        <v>0</v>
      </c>
      <c r="J11" s="77" t="str">
        <f t="shared" si="0"/>
        <v>Done</v>
      </c>
    </row>
    <row r="12" spans="1:10" ht="18" x14ac:dyDescent="0.25">
      <c r="A12" s="21">
        <v>8</v>
      </c>
      <c r="B12" s="45" t="s">
        <v>379</v>
      </c>
      <c r="C12" s="72">
        <v>405</v>
      </c>
      <c r="D12" s="591" t="str">
        <f t="shared" si="1"/>
        <v>ü</v>
      </c>
      <c r="E12" s="592"/>
      <c r="G12" s="70">
        <f t="shared" si="2"/>
        <v>0</v>
      </c>
      <c r="J12" s="77" t="str">
        <f t="shared" si="0"/>
        <v>Done</v>
      </c>
    </row>
    <row r="13" spans="1:10" ht="18" x14ac:dyDescent="0.25">
      <c r="A13" s="21">
        <v>9</v>
      </c>
      <c r="B13" s="45" t="s">
        <v>380</v>
      </c>
      <c r="C13" s="72">
        <v>758</v>
      </c>
      <c r="D13" s="591" t="str">
        <f t="shared" si="1"/>
        <v/>
      </c>
      <c r="E13" s="592"/>
      <c r="G13" s="70">
        <f t="shared" si="2"/>
        <v>1</v>
      </c>
      <c r="J13" s="77" t="str">
        <f t="shared" si="0"/>
        <v>Not Done</v>
      </c>
    </row>
    <row r="14" spans="1:10" ht="18" x14ac:dyDescent="0.25">
      <c r="A14" s="21">
        <v>10</v>
      </c>
      <c r="B14" s="45" t="s">
        <v>384</v>
      </c>
      <c r="C14" s="72">
        <v>759</v>
      </c>
      <c r="D14" s="591" t="str">
        <f t="shared" si="1"/>
        <v/>
      </c>
      <c r="E14" s="592"/>
      <c r="G14" s="70">
        <f t="shared" si="2"/>
        <v>1</v>
      </c>
      <c r="J14" s="77" t="str">
        <f t="shared" si="0"/>
        <v>Not Done</v>
      </c>
    </row>
    <row r="15" spans="1:10" ht="18" x14ac:dyDescent="0.25">
      <c r="A15" s="21">
        <v>11</v>
      </c>
      <c r="B15" s="45" t="s">
        <v>386</v>
      </c>
      <c r="C15" s="72">
        <v>760</v>
      </c>
      <c r="D15" s="591" t="str">
        <f t="shared" si="1"/>
        <v/>
      </c>
      <c r="E15" s="592"/>
      <c r="G15" s="70">
        <f t="shared" si="2"/>
        <v>1</v>
      </c>
      <c r="J15" s="77" t="str">
        <f t="shared" si="0"/>
        <v>Not Done</v>
      </c>
    </row>
    <row r="16" spans="1:10" ht="18" x14ac:dyDescent="0.25">
      <c r="A16" s="21">
        <v>12</v>
      </c>
      <c r="B16" s="45" t="s">
        <v>389</v>
      </c>
      <c r="C16" s="72">
        <v>761</v>
      </c>
      <c r="D16" s="591" t="str">
        <f t="shared" si="1"/>
        <v/>
      </c>
      <c r="E16" s="592"/>
      <c r="G16" s="70">
        <f t="shared" si="2"/>
        <v>1</v>
      </c>
      <c r="J16" s="77" t="str">
        <f t="shared" si="0"/>
        <v>Not Done</v>
      </c>
    </row>
    <row r="17" spans="1:10" ht="18" x14ac:dyDescent="0.25">
      <c r="A17" s="21">
        <v>13</v>
      </c>
      <c r="B17" s="45" t="s">
        <v>390</v>
      </c>
      <c r="C17" s="72">
        <v>762</v>
      </c>
      <c r="D17" s="591" t="str">
        <f t="shared" si="1"/>
        <v/>
      </c>
      <c r="E17" s="592"/>
      <c r="G17" s="70">
        <f t="shared" si="2"/>
        <v>1</v>
      </c>
      <c r="J17" s="77" t="str">
        <f t="shared" si="0"/>
        <v>Not Done</v>
      </c>
    </row>
    <row r="18" spans="1:10" ht="18" x14ac:dyDescent="0.25">
      <c r="A18" s="21">
        <v>14</v>
      </c>
      <c r="B18" s="45" t="s">
        <v>391</v>
      </c>
      <c r="C18" s="72">
        <v>473</v>
      </c>
      <c r="D18" s="591" t="str">
        <f t="shared" si="1"/>
        <v>ü</v>
      </c>
      <c r="E18" s="592"/>
      <c r="G18" s="70">
        <f t="shared" si="2"/>
        <v>0</v>
      </c>
      <c r="J18" s="77" t="str">
        <f t="shared" si="0"/>
        <v>Done</v>
      </c>
    </row>
    <row r="19" spans="1:10" ht="18" x14ac:dyDescent="0.25">
      <c r="A19" s="21">
        <v>15</v>
      </c>
      <c r="B19" s="45" t="s">
        <v>392</v>
      </c>
      <c r="C19" s="72">
        <v>473</v>
      </c>
      <c r="D19" s="591" t="str">
        <f t="shared" si="1"/>
        <v>ü</v>
      </c>
      <c r="E19" s="592"/>
      <c r="G19" s="70">
        <f t="shared" si="2"/>
        <v>0</v>
      </c>
      <c r="J19" s="77" t="str">
        <f t="shared" si="0"/>
        <v>Done</v>
      </c>
    </row>
    <row r="20" spans="1:10" ht="18" x14ac:dyDescent="0.25">
      <c r="A20" s="21">
        <v>16</v>
      </c>
      <c r="B20" s="45" t="s">
        <v>393</v>
      </c>
      <c r="C20" s="72">
        <v>473</v>
      </c>
      <c r="D20" s="591" t="str">
        <f t="shared" si="1"/>
        <v>ü</v>
      </c>
      <c r="E20" s="592"/>
      <c r="G20" s="70">
        <f t="shared" si="2"/>
        <v>0</v>
      </c>
      <c r="J20" s="77" t="str">
        <f t="shared" si="0"/>
        <v>Done</v>
      </c>
    </row>
    <row r="21" spans="1:10" ht="18" x14ac:dyDescent="0.25">
      <c r="A21" s="21">
        <v>17</v>
      </c>
      <c r="B21" s="45" t="s">
        <v>394</v>
      </c>
      <c r="C21" s="72">
        <v>245</v>
      </c>
      <c r="D21" s="591" t="str">
        <f t="shared" si="1"/>
        <v>ü</v>
      </c>
      <c r="E21" s="592"/>
      <c r="G21" s="70">
        <f t="shared" si="2"/>
        <v>0</v>
      </c>
      <c r="J21" s="77" t="str">
        <f t="shared" si="0"/>
        <v>Done</v>
      </c>
    </row>
    <row r="22" spans="1:10" ht="18" x14ac:dyDescent="0.25">
      <c r="A22" s="21">
        <v>18</v>
      </c>
      <c r="B22" s="45" t="s">
        <v>395</v>
      </c>
      <c r="C22" s="72">
        <v>245</v>
      </c>
      <c r="D22" s="591" t="str">
        <f t="shared" si="1"/>
        <v>ü</v>
      </c>
      <c r="E22" s="592"/>
      <c r="G22" s="70">
        <f t="shared" si="2"/>
        <v>0</v>
      </c>
      <c r="J22" s="77" t="str">
        <f t="shared" si="0"/>
        <v>Done</v>
      </c>
    </row>
    <row r="23" spans="1:10" ht="18" x14ac:dyDescent="0.25">
      <c r="A23" s="21">
        <v>19</v>
      </c>
      <c r="B23" s="45" t="s">
        <v>396</v>
      </c>
      <c r="C23" s="72">
        <v>245</v>
      </c>
      <c r="D23" s="591" t="str">
        <f t="shared" si="1"/>
        <v>ü</v>
      </c>
      <c r="E23" s="592"/>
      <c r="G23" s="70">
        <f t="shared" si="2"/>
        <v>0</v>
      </c>
      <c r="J23" s="77" t="str">
        <f t="shared" si="0"/>
        <v>Done</v>
      </c>
    </row>
    <row r="24" spans="1:10" ht="18" x14ac:dyDescent="0.25">
      <c r="A24" s="21">
        <v>20</v>
      </c>
      <c r="B24" s="45" t="s">
        <v>397</v>
      </c>
      <c r="C24" s="72">
        <v>208</v>
      </c>
      <c r="D24" s="591" t="str">
        <f t="shared" si="1"/>
        <v>ü</v>
      </c>
      <c r="E24" s="592"/>
      <c r="G24" s="70">
        <f t="shared" si="2"/>
        <v>0</v>
      </c>
      <c r="J24" s="77" t="str">
        <f t="shared" si="0"/>
        <v>Done</v>
      </c>
    </row>
    <row r="25" spans="1:10" ht="18" x14ac:dyDescent="0.25">
      <c r="A25" s="21">
        <v>21</v>
      </c>
      <c r="B25" s="45" t="s">
        <v>400</v>
      </c>
      <c r="C25" s="72">
        <v>208</v>
      </c>
      <c r="D25" s="591" t="str">
        <f t="shared" si="1"/>
        <v>ü</v>
      </c>
      <c r="E25" s="592"/>
      <c r="G25" s="70">
        <f t="shared" si="2"/>
        <v>0</v>
      </c>
      <c r="J25" s="77" t="str">
        <f t="shared" si="0"/>
        <v>Done</v>
      </c>
    </row>
    <row r="26" spans="1:10" ht="18" x14ac:dyDescent="0.25">
      <c r="A26" s="21">
        <v>22</v>
      </c>
      <c r="B26" s="45" t="s">
        <v>401</v>
      </c>
      <c r="C26" s="72">
        <v>283</v>
      </c>
      <c r="D26" s="591" t="str">
        <f t="shared" si="1"/>
        <v>ü</v>
      </c>
      <c r="E26" s="592"/>
      <c r="G26" s="70">
        <f t="shared" si="2"/>
        <v>0</v>
      </c>
      <c r="J26" s="77" t="str">
        <f t="shared" si="0"/>
        <v>Done</v>
      </c>
    </row>
    <row r="27" spans="1:10" ht="18" x14ac:dyDescent="0.25">
      <c r="A27" s="21">
        <v>23</v>
      </c>
      <c r="B27" s="45" t="s">
        <v>402</v>
      </c>
      <c r="C27" s="72">
        <v>461</v>
      </c>
      <c r="D27" s="591" t="str">
        <f t="shared" si="1"/>
        <v>ü</v>
      </c>
      <c r="E27" s="592"/>
      <c r="G27" s="70">
        <f t="shared" si="2"/>
        <v>0</v>
      </c>
      <c r="J27" s="77" t="str">
        <f t="shared" si="0"/>
        <v>Done</v>
      </c>
    </row>
    <row r="28" spans="1:10" ht="18" x14ac:dyDescent="0.25">
      <c r="A28" s="21">
        <v>24</v>
      </c>
      <c r="B28" s="45" t="s">
        <v>404</v>
      </c>
      <c r="C28" s="72">
        <v>541</v>
      </c>
      <c r="D28" s="591" t="str">
        <f t="shared" si="1"/>
        <v>ü</v>
      </c>
      <c r="E28" s="592"/>
      <c r="G28" s="70">
        <f t="shared" si="2"/>
        <v>0</v>
      </c>
      <c r="J28" s="77" t="str">
        <f t="shared" si="0"/>
        <v>Done</v>
      </c>
    </row>
    <row r="29" spans="1:10" ht="18" x14ac:dyDescent="0.25">
      <c r="A29" s="21">
        <v>25</v>
      </c>
      <c r="B29" s="45" t="s">
        <v>406</v>
      </c>
      <c r="C29" s="72">
        <v>591</v>
      </c>
      <c r="D29" s="591" t="str">
        <f t="shared" si="1"/>
        <v>ü</v>
      </c>
      <c r="E29" s="592"/>
      <c r="G29" s="70">
        <f t="shared" si="2"/>
        <v>0</v>
      </c>
      <c r="J29" s="77" t="str">
        <f t="shared" si="0"/>
        <v>Done</v>
      </c>
    </row>
    <row r="30" spans="1:10" ht="18" x14ac:dyDescent="0.25">
      <c r="A30" s="21">
        <v>26</v>
      </c>
      <c r="B30" s="45" t="s">
        <v>407</v>
      </c>
      <c r="C30" s="72">
        <v>473</v>
      </c>
      <c r="D30" s="591" t="str">
        <f t="shared" si="1"/>
        <v>ü</v>
      </c>
      <c r="E30" s="592"/>
      <c r="G30" s="70">
        <f t="shared" si="2"/>
        <v>0</v>
      </c>
      <c r="J30" s="77" t="str">
        <f t="shared" si="0"/>
        <v>Done</v>
      </c>
    </row>
    <row r="31" spans="1:10" ht="18" x14ac:dyDescent="0.25">
      <c r="A31" s="21">
        <v>27</v>
      </c>
      <c r="B31" s="45" t="s">
        <v>409</v>
      </c>
      <c r="C31" s="72">
        <v>776</v>
      </c>
      <c r="D31" s="591" t="str">
        <f t="shared" si="1"/>
        <v/>
      </c>
      <c r="E31" s="592"/>
      <c r="G31" s="70">
        <f t="shared" si="2"/>
        <v>1</v>
      </c>
      <c r="J31" s="77" t="str">
        <f t="shared" si="0"/>
        <v>Not Done</v>
      </c>
    </row>
    <row r="32" spans="1:10" ht="18" x14ac:dyDescent="0.25">
      <c r="A32" s="21">
        <v>28</v>
      </c>
      <c r="B32" s="45" t="s">
        <v>410</v>
      </c>
      <c r="C32" s="475">
        <v>297294297</v>
      </c>
      <c r="D32" s="591" t="str">
        <f t="shared" si="1"/>
        <v>ü</v>
      </c>
      <c r="E32" s="592"/>
      <c r="G32" s="70">
        <f t="shared" si="2"/>
        <v>0</v>
      </c>
      <c r="J32" s="77" t="str">
        <f t="shared" si="0"/>
        <v>Done</v>
      </c>
    </row>
    <row r="33" spans="1:10" ht="18" x14ac:dyDescent="0.25">
      <c r="A33" s="21">
        <v>29</v>
      </c>
      <c r="B33" s="45" t="s">
        <v>412</v>
      </c>
      <c r="C33" s="72">
        <v>778</v>
      </c>
      <c r="D33" s="591" t="str">
        <f t="shared" si="1"/>
        <v/>
      </c>
      <c r="E33" s="592"/>
      <c r="G33" s="70">
        <f t="shared" si="2"/>
        <v>1</v>
      </c>
      <c r="J33" s="77" t="str">
        <f t="shared" si="0"/>
        <v>Not Done</v>
      </c>
    </row>
    <row r="34" spans="1:10" ht="18" x14ac:dyDescent="0.25">
      <c r="A34" s="21">
        <v>30</v>
      </c>
      <c r="B34" s="45" t="s">
        <v>413</v>
      </c>
      <c r="C34" s="475">
        <v>235232235</v>
      </c>
      <c r="D34" s="591" t="str">
        <f t="shared" si="1"/>
        <v>ü</v>
      </c>
      <c r="E34" s="592"/>
      <c r="G34" s="70">
        <f t="shared" si="2"/>
        <v>0</v>
      </c>
      <c r="J34" s="77" t="str">
        <f t="shared" si="0"/>
        <v>Done</v>
      </c>
    </row>
    <row r="35" spans="1:10" ht="18" x14ac:dyDescent="0.25">
      <c r="A35" s="21">
        <v>31</v>
      </c>
      <c r="B35" s="45" t="s">
        <v>415</v>
      </c>
      <c r="C35" s="72">
        <v>572</v>
      </c>
      <c r="D35" s="591" t="str">
        <f t="shared" si="1"/>
        <v>ü</v>
      </c>
      <c r="E35" s="592"/>
      <c r="G35" s="70">
        <f t="shared" si="2"/>
        <v>0</v>
      </c>
      <c r="J35" s="77" t="str">
        <f t="shared" si="0"/>
        <v>Done</v>
      </c>
    </row>
    <row r="36" spans="1:10" ht="18" x14ac:dyDescent="0.25">
      <c r="A36" s="21">
        <v>32</v>
      </c>
      <c r="B36" s="45" t="s">
        <v>416</v>
      </c>
      <c r="C36" s="72">
        <v>781</v>
      </c>
      <c r="D36" s="591" t="str">
        <f t="shared" si="1"/>
        <v/>
      </c>
      <c r="E36" s="592"/>
      <c r="G36" s="70">
        <f t="shared" si="2"/>
        <v>1</v>
      </c>
      <c r="J36" s="77" t="str">
        <f t="shared" si="0"/>
        <v>Not Done</v>
      </c>
    </row>
    <row r="37" spans="1:10" ht="18" x14ac:dyDescent="0.25">
      <c r="A37" s="21">
        <v>33</v>
      </c>
      <c r="B37" s="45" t="s">
        <v>417</v>
      </c>
      <c r="C37" s="72">
        <v>572</v>
      </c>
      <c r="D37" s="591" t="str">
        <f t="shared" si="1"/>
        <v>ü</v>
      </c>
      <c r="E37" s="592"/>
      <c r="G37" s="70">
        <f t="shared" si="2"/>
        <v>0</v>
      </c>
      <c r="J37" s="77" t="str">
        <f t="shared" si="0"/>
        <v>Done</v>
      </c>
    </row>
    <row r="38" spans="1:10" ht="18" x14ac:dyDescent="0.25">
      <c r="A38" s="21">
        <v>34</v>
      </c>
      <c r="B38" s="45" t="s">
        <v>418</v>
      </c>
      <c r="C38" s="72">
        <v>783</v>
      </c>
      <c r="D38" s="591" t="str">
        <f t="shared" si="1"/>
        <v/>
      </c>
      <c r="E38" s="592"/>
      <c r="G38" s="70">
        <f t="shared" si="2"/>
        <v>1</v>
      </c>
      <c r="J38" s="77" t="str">
        <f t="shared" si="0"/>
        <v>Not Done</v>
      </c>
    </row>
    <row r="39" spans="1:10" ht="18" x14ac:dyDescent="0.25">
      <c r="A39" s="21">
        <v>35</v>
      </c>
      <c r="B39" s="45" t="s">
        <v>419</v>
      </c>
      <c r="C39" s="72">
        <v>784</v>
      </c>
      <c r="D39" s="591" t="str">
        <f t="shared" si="1"/>
        <v/>
      </c>
      <c r="E39" s="592"/>
      <c r="G39" s="70">
        <f t="shared" si="2"/>
        <v>1</v>
      </c>
      <c r="J39" s="77" t="str">
        <f t="shared" si="0"/>
        <v>Not Done</v>
      </c>
    </row>
    <row r="40" spans="1:10" ht="18" x14ac:dyDescent="0.25">
      <c r="A40" s="21">
        <v>36</v>
      </c>
      <c r="B40" s="45" t="s">
        <v>422</v>
      </c>
      <c r="C40" s="72">
        <v>785</v>
      </c>
      <c r="D40" s="591" t="str">
        <f t="shared" si="1"/>
        <v/>
      </c>
      <c r="E40" s="592"/>
      <c r="G40" s="70">
        <f t="shared" si="2"/>
        <v>1</v>
      </c>
      <c r="J40" s="77" t="str">
        <f t="shared" si="0"/>
        <v>Not Done</v>
      </c>
    </row>
    <row r="41" spans="1:10" ht="18" x14ac:dyDescent="0.25">
      <c r="A41" s="21">
        <v>37</v>
      </c>
      <c r="B41" s="45" t="s">
        <v>423</v>
      </c>
      <c r="C41" s="72">
        <v>192</v>
      </c>
      <c r="D41" s="591" t="str">
        <f t="shared" si="1"/>
        <v>ü</v>
      </c>
      <c r="E41" s="592"/>
      <c r="G41" s="70">
        <f t="shared" si="2"/>
        <v>0</v>
      </c>
      <c r="J41" s="77" t="str">
        <f t="shared" si="0"/>
        <v>Done</v>
      </c>
    </row>
    <row r="42" spans="1:10" ht="18" x14ac:dyDescent="0.25">
      <c r="A42" s="21">
        <v>38</v>
      </c>
      <c r="B42" s="45" t="s">
        <v>424</v>
      </c>
      <c r="C42" s="475">
        <v>234231234</v>
      </c>
      <c r="D42" s="591" t="str">
        <f t="shared" si="1"/>
        <v>ü</v>
      </c>
      <c r="E42" s="592"/>
      <c r="G42" s="70">
        <f t="shared" si="2"/>
        <v>0</v>
      </c>
      <c r="J42" s="77" t="str">
        <f t="shared" si="0"/>
        <v>Done</v>
      </c>
    </row>
    <row r="43" spans="1:10" ht="18" x14ac:dyDescent="0.25">
      <c r="A43" s="21">
        <v>39</v>
      </c>
      <c r="B43" s="45" t="s">
        <v>430</v>
      </c>
      <c r="C43" s="72">
        <v>788</v>
      </c>
      <c r="D43" s="591" t="str">
        <f t="shared" si="1"/>
        <v/>
      </c>
      <c r="E43" s="592"/>
      <c r="G43" s="70">
        <f t="shared" si="2"/>
        <v>1</v>
      </c>
      <c r="J43" s="77" t="str">
        <f t="shared" si="0"/>
        <v>Not Done</v>
      </c>
    </row>
    <row r="44" spans="1:10" ht="18" x14ac:dyDescent="0.25">
      <c r="A44" s="21">
        <v>40</v>
      </c>
      <c r="B44" s="45" t="s">
        <v>431</v>
      </c>
      <c r="C44" s="72">
        <v>405</v>
      </c>
      <c r="D44" s="591" t="str">
        <f t="shared" si="1"/>
        <v>ü</v>
      </c>
      <c r="E44" s="592"/>
      <c r="G44" s="70">
        <f t="shared" si="2"/>
        <v>0</v>
      </c>
      <c r="J44" s="77" t="str">
        <f t="shared" si="0"/>
        <v>Done</v>
      </c>
    </row>
    <row r="45" spans="1:10" ht="18" x14ac:dyDescent="0.25">
      <c r="A45" s="21">
        <v>41</v>
      </c>
      <c r="B45" s="45" t="s">
        <v>432</v>
      </c>
      <c r="C45" s="72">
        <v>790</v>
      </c>
      <c r="D45" s="591" t="str">
        <f t="shared" si="1"/>
        <v/>
      </c>
      <c r="E45" s="592"/>
      <c r="G45" s="70">
        <f t="shared" si="2"/>
        <v>1</v>
      </c>
      <c r="J45" s="77" t="str">
        <f t="shared" si="0"/>
        <v>Not Done</v>
      </c>
    </row>
    <row r="46" spans="1:10" ht="18" x14ac:dyDescent="0.25">
      <c r="A46" s="21">
        <v>42</v>
      </c>
      <c r="B46" s="45" t="s">
        <v>433</v>
      </c>
      <c r="C46" s="72">
        <v>791</v>
      </c>
      <c r="D46" s="591" t="str">
        <f t="shared" si="1"/>
        <v/>
      </c>
      <c r="E46" s="592"/>
      <c r="G46" s="70">
        <f t="shared" si="2"/>
        <v>1</v>
      </c>
      <c r="J46" s="77" t="str">
        <f t="shared" si="0"/>
        <v>Not Done</v>
      </c>
    </row>
    <row r="47" spans="1:10" ht="18" x14ac:dyDescent="0.25">
      <c r="A47" s="21">
        <v>43</v>
      </c>
      <c r="B47" s="45" t="s">
        <v>434</v>
      </c>
      <c r="C47" s="72">
        <v>792</v>
      </c>
      <c r="D47" s="591" t="str">
        <f t="shared" si="1"/>
        <v/>
      </c>
      <c r="E47" s="592"/>
      <c r="G47" s="70">
        <f t="shared" si="2"/>
        <v>1</v>
      </c>
      <c r="J47" s="77" t="str">
        <f t="shared" si="0"/>
        <v>Not Done</v>
      </c>
    </row>
    <row r="48" spans="1:10" ht="18" x14ac:dyDescent="0.25">
      <c r="A48" s="21">
        <v>44</v>
      </c>
      <c r="B48" s="45" t="s">
        <v>435</v>
      </c>
      <c r="C48" s="72">
        <v>793</v>
      </c>
      <c r="D48" s="591" t="str">
        <f t="shared" si="1"/>
        <v/>
      </c>
      <c r="E48" s="592"/>
      <c r="G48" s="70">
        <f t="shared" si="2"/>
        <v>1</v>
      </c>
      <c r="J48" s="77" t="str">
        <f t="shared" si="0"/>
        <v>Not Done</v>
      </c>
    </row>
    <row r="49" spans="1:10" ht="18" x14ac:dyDescent="0.25">
      <c r="A49" s="21">
        <v>45</v>
      </c>
      <c r="B49" s="45" t="s">
        <v>436</v>
      </c>
      <c r="C49" s="72">
        <v>541</v>
      </c>
      <c r="D49" s="591" t="str">
        <f t="shared" si="1"/>
        <v>ü</v>
      </c>
      <c r="E49" s="592"/>
      <c r="G49" s="70">
        <f t="shared" si="2"/>
        <v>0</v>
      </c>
      <c r="J49" s="77" t="str">
        <f t="shared" si="0"/>
        <v>Done</v>
      </c>
    </row>
    <row r="50" spans="1:10" ht="18" x14ac:dyDescent="0.25">
      <c r="A50" s="21">
        <v>46</v>
      </c>
      <c r="B50" s="45" t="s">
        <v>439</v>
      </c>
      <c r="C50" s="72">
        <v>467</v>
      </c>
      <c r="D50" s="591" t="str">
        <f t="shared" si="1"/>
        <v>ü</v>
      </c>
      <c r="E50" s="592"/>
      <c r="G50" s="70">
        <f t="shared" si="2"/>
        <v>0</v>
      </c>
      <c r="J50" s="77" t="str">
        <f t="shared" si="0"/>
        <v>Done</v>
      </c>
    </row>
    <row r="51" spans="1:10" ht="18" x14ac:dyDescent="0.25">
      <c r="A51" s="21">
        <v>47</v>
      </c>
      <c r="B51" s="45" t="s">
        <v>441</v>
      </c>
      <c r="C51" s="72">
        <v>491</v>
      </c>
      <c r="D51" s="591" t="str">
        <f t="shared" si="1"/>
        <v>ü</v>
      </c>
      <c r="E51" s="592"/>
      <c r="G51" s="70">
        <f t="shared" si="2"/>
        <v>0</v>
      </c>
      <c r="J51" s="77" t="str">
        <f t="shared" si="0"/>
        <v>Done</v>
      </c>
    </row>
    <row r="52" spans="1:10" ht="18" x14ac:dyDescent="0.25">
      <c r="A52" s="21">
        <v>48</v>
      </c>
      <c r="B52" s="45" t="s">
        <v>442</v>
      </c>
      <c r="C52" s="72">
        <v>541</v>
      </c>
      <c r="D52" s="591" t="str">
        <f t="shared" si="1"/>
        <v>ü</v>
      </c>
      <c r="E52" s="592"/>
      <c r="G52" s="70">
        <f t="shared" si="2"/>
        <v>0</v>
      </c>
      <c r="J52" s="77" t="str">
        <f>IF(D52="","Not Done","Done")</f>
        <v>Done</v>
      </c>
    </row>
    <row r="53" spans="1:10" ht="18" x14ac:dyDescent="0.25">
      <c r="A53" s="21">
        <v>49</v>
      </c>
      <c r="B53" s="45" t="s">
        <v>444</v>
      </c>
      <c r="C53" s="72">
        <v>491</v>
      </c>
      <c r="D53" s="591" t="str">
        <f t="shared" si="1"/>
        <v>ü</v>
      </c>
      <c r="E53" s="592"/>
      <c r="G53" s="70">
        <f t="shared" si="2"/>
        <v>0</v>
      </c>
      <c r="J53" s="77" t="str">
        <f>IF(D53="","Not Done","Done")</f>
        <v>Done</v>
      </c>
    </row>
    <row r="54" spans="1:10" ht="18" x14ac:dyDescent="0.25">
      <c r="A54" s="21">
        <v>50</v>
      </c>
      <c r="B54" s="45" t="s">
        <v>445</v>
      </c>
      <c r="C54" s="72">
        <v>467</v>
      </c>
      <c r="D54" s="591" t="str">
        <f t="shared" si="1"/>
        <v>ü</v>
      </c>
      <c r="E54" s="592"/>
      <c r="G54" s="70">
        <f t="shared" si="2"/>
        <v>0</v>
      </c>
      <c r="J54" s="77" t="str">
        <f>IF(D54="","Not Done","Done")</f>
        <v>Done</v>
      </c>
    </row>
    <row r="55" spans="1:10" ht="18" x14ac:dyDescent="0.25">
      <c r="A55" s="21">
        <v>51</v>
      </c>
      <c r="B55" s="45" t="s">
        <v>446</v>
      </c>
      <c r="C55" s="72">
        <v>491</v>
      </c>
      <c r="D55" s="591" t="str">
        <f t="shared" si="1"/>
        <v>ü</v>
      </c>
      <c r="E55" s="592"/>
      <c r="G55" s="70">
        <f t="shared" si="2"/>
        <v>0</v>
      </c>
      <c r="J55" s="77" t="str">
        <f>IF(D55="","Not Done","Done")</f>
        <v>Done</v>
      </c>
    </row>
    <row r="56" spans="1:10" ht="18" x14ac:dyDescent="0.25">
      <c r="A56" s="21">
        <v>52</v>
      </c>
      <c r="B56" s="45" t="s">
        <v>447</v>
      </c>
      <c r="C56" s="72">
        <v>541</v>
      </c>
      <c r="D56" s="591" t="str">
        <f t="shared" si="1"/>
        <v>ü</v>
      </c>
      <c r="E56" s="592"/>
      <c r="G56" s="70">
        <f t="shared" si="2"/>
        <v>0</v>
      </c>
      <c r="J56" s="77" t="str">
        <f>IF(D56="","Not Done","Done")</f>
        <v>Done</v>
      </c>
    </row>
    <row r="57" spans="1:10" ht="18" x14ac:dyDescent="0.25">
      <c r="A57" s="21">
        <v>53</v>
      </c>
      <c r="B57" s="45" t="s">
        <v>449</v>
      </c>
      <c r="C57" s="72">
        <v>541</v>
      </c>
      <c r="D57" s="591" t="str">
        <f t="shared" si="1"/>
        <v>ü</v>
      </c>
      <c r="E57" s="592"/>
      <c r="G57" s="70">
        <f t="shared" si="2"/>
        <v>0</v>
      </c>
      <c r="J57" s="77" t="str">
        <f t="shared" ref="J57:J120" si="3">IF(D57="","Not Done","Done")</f>
        <v>Done</v>
      </c>
    </row>
    <row r="58" spans="1:10" ht="18" x14ac:dyDescent="0.25">
      <c r="A58" s="21">
        <v>54</v>
      </c>
      <c r="B58" s="45" t="s">
        <v>450</v>
      </c>
      <c r="C58" s="72">
        <v>467</v>
      </c>
      <c r="D58" s="591" t="str">
        <f t="shared" si="1"/>
        <v>ü</v>
      </c>
      <c r="E58" s="592"/>
      <c r="G58" s="70">
        <f t="shared" si="2"/>
        <v>0</v>
      </c>
      <c r="J58" s="77" t="str">
        <f t="shared" si="3"/>
        <v>Done</v>
      </c>
    </row>
    <row r="59" spans="1:10" ht="18" x14ac:dyDescent="0.25">
      <c r="A59" s="21">
        <v>55</v>
      </c>
      <c r="B59" s="45" t="s">
        <v>451</v>
      </c>
      <c r="C59" s="72">
        <v>491</v>
      </c>
      <c r="D59" s="591" t="str">
        <f t="shared" si="1"/>
        <v>ü</v>
      </c>
      <c r="E59" s="592"/>
      <c r="G59" s="70">
        <f t="shared" si="2"/>
        <v>0</v>
      </c>
      <c r="J59" s="77" t="str">
        <f t="shared" si="3"/>
        <v>Done</v>
      </c>
    </row>
    <row r="60" spans="1:10" ht="18" x14ac:dyDescent="0.25">
      <c r="A60" s="21">
        <v>56</v>
      </c>
      <c r="B60" s="45" t="s">
        <v>452</v>
      </c>
      <c r="C60" s="72">
        <v>467</v>
      </c>
      <c r="D60" s="591" t="str">
        <f t="shared" si="1"/>
        <v>ü</v>
      </c>
      <c r="E60" s="592"/>
      <c r="G60" s="70">
        <f t="shared" si="2"/>
        <v>0</v>
      </c>
      <c r="J60" s="77" t="str">
        <f t="shared" si="3"/>
        <v>Done</v>
      </c>
    </row>
    <row r="61" spans="1:10" ht="18" x14ac:dyDescent="0.25">
      <c r="A61" s="21">
        <v>57</v>
      </c>
      <c r="B61" s="45" t="s">
        <v>453</v>
      </c>
      <c r="C61" s="72">
        <v>491</v>
      </c>
      <c r="D61" s="591" t="str">
        <f t="shared" si="1"/>
        <v>ü</v>
      </c>
      <c r="E61" s="592"/>
      <c r="G61" s="70">
        <f t="shared" si="2"/>
        <v>0</v>
      </c>
      <c r="J61" s="77" t="str">
        <f t="shared" si="3"/>
        <v>Done</v>
      </c>
    </row>
    <row r="62" spans="1:10" ht="18" x14ac:dyDescent="0.25">
      <c r="A62" s="21">
        <v>58</v>
      </c>
      <c r="B62" s="45" t="s">
        <v>454</v>
      </c>
      <c r="C62" s="72">
        <v>807</v>
      </c>
      <c r="D62" s="591" t="str">
        <f t="shared" si="1"/>
        <v/>
      </c>
      <c r="E62" s="592"/>
      <c r="G62" s="70">
        <f t="shared" si="2"/>
        <v>1</v>
      </c>
      <c r="J62" s="77" t="str">
        <f t="shared" si="3"/>
        <v>Not Done</v>
      </c>
    </row>
    <row r="63" spans="1:10" ht="18" x14ac:dyDescent="0.25">
      <c r="A63" s="21">
        <v>59</v>
      </c>
      <c r="B63" s="45" t="s">
        <v>455</v>
      </c>
      <c r="C63" s="72">
        <v>192</v>
      </c>
      <c r="D63" s="591" t="str">
        <f t="shared" si="1"/>
        <v>ü</v>
      </c>
      <c r="E63" s="592"/>
      <c r="G63" s="70">
        <f t="shared" si="2"/>
        <v>0</v>
      </c>
      <c r="J63" s="77" t="str">
        <f t="shared" si="3"/>
        <v>Done</v>
      </c>
    </row>
    <row r="64" spans="1:10" ht="18" x14ac:dyDescent="0.25">
      <c r="A64" s="21">
        <v>60</v>
      </c>
      <c r="B64" s="45" t="s">
        <v>456</v>
      </c>
      <c r="C64" s="72">
        <v>809</v>
      </c>
      <c r="D64" s="591" t="str">
        <f t="shared" si="1"/>
        <v/>
      </c>
      <c r="E64" s="592"/>
      <c r="G64" s="70">
        <f t="shared" si="2"/>
        <v>1</v>
      </c>
      <c r="J64" s="77" t="str">
        <f t="shared" si="3"/>
        <v>Not Done</v>
      </c>
    </row>
    <row r="65" spans="1:10" ht="18" x14ac:dyDescent="0.25">
      <c r="A65" s="21">
        <v>61</v>
      </c>
      <c r="B65" s="45" t="s">
        <v>457</v>
      </c>
      <c r="C65" s="72">
        <v>341</v>
      </c>
      <c r="D65" s="591" t="str">
        <f t="shared" si="1"/>
        <v>ü</v>
      </c>
      <c r="E65" s="592"/>
      <c r="G65" s="70">
        <f t="shared" si="2"/>
        <v>0</v>
      </c>
      <c r="J65" s="77" t="str">
        <f t="shared" si="3"/>
        <v>Done</v>
      </c>
    </row>
    <row r="66" spans="1:10" ht="18" x14ac:dyDescent="0.25">
      <c r="A66" s="21">
        <v>62</v>
      </c>
      <c r="B66" s="45" t="s">
        <v>458</v>
      </c>
      <c r="C66" s="475">
        <v>203200203</v>
      </c>
      <c r="D66" s="591" t="str">
        <f t="shared" si="1"/>
        <v>ü</v>
      </c>
      <c r="E66" s="592"/>
      <c r="G66" s="70">
        <f t="shared" si="2"/>
        <v>0</v>
      </c>
      <c r="J66" s="77" t="str">
        <f t="shared" si="3"/>
        <v>Done</v>
      </c>
    </row>
    <row r="67" spans="1:10" ht="18" x14ac:dyDescent="0.25">
      <c r="A67" s="21">
        <v>63</v>
      </c>
      <c r="B67" s="45" t="s">
        <v>460</v>
      </c>
      <c r="C67" s="72">
        <v>192</v>
      </c>
      <c r="D67" s="591" t="str">
        <f t="shared" si="1"/>
        <v>ü</v>
      </c>
      <c r="E67" s="592"/>
      <c r="G67" s="70">
        <f t="shared" si="2"/>
        <v>0</v>
      </c>
      <c r="J67" s="77" t="str">
        <f t="shared" si="3"/>
        <v>Done</v>
      </c>
    </row>
    <row r="68" spans="1:10" ht="18" x14ac:dyDescent="0.25">
      <c r="A68" s="21">
        <v>64</v>
      </c>
      <c r="B68" s="45" t="s">
        <v>461</v>
      </c>
      <c r="C68" s="475">
        <v>203200203</v>
      </c>
      <c r="D68" s="591" t="str">
        <f t="shared" si="1"/>
        <v>ü</v>
      </c>
      <c r="E68" s="592"/>
      <c r="G68" s="70">
        <f t="shared" si="2"/>
        <v>0</v>
      </c>
      <c r="J68" s="77" t="str">
        <f t="shared" si="3"/>
        <v>Done</v>
      </c>
    </row>
    <row r="69" spans="1:10" ht="18" x14ac:dyDescent="0.25">
      <c r="A69" s="21">
        <v>65</v>
      </c>
      <c r="B69" s="45" t="s">
        <v>464</v>
      </c>
      <c r="C69" s="72">
        <v>400</v>
      </c>
      <c r="D69" s="591" t="str">
        <f t="shared" si="1"/>
        <v>ü</v>
      </c>
      <c r="E69" s="592"/>
      <c r="G69" s="70">
        <f t="shared" si="2"/>
        <v>0</v>
      </c>
      <c r="J69" s="77" t="str">
        <f t="shared" si="3"/>
        <v>Done</v>
      </c>
    </row>
    <row r="70" spans="1:10" ht="18" x14ac:dyDescent="0.25">
      <c r="A70" s="21">
        <v>66</v>
      </c>
      <c r="B70" s="45" t="s">
        <v>465</v>
      </c>
      <c r="C70" s="72">
        <v>405</v>
      </c>
      <c r="D70" s="591" t="str">
        <f t="shared" ref="D70:D134" si="4">IF(LEN(C70)&gt;3,"ü",IF(C70="","",IF(C70&gt;=0,IF(C70&lt;=597,"ü",""),"")))</f>
        <v>ü</v>
      </c>
      <c r="E70" s="592"/>
      <c r="G70" s="70">
        <f t="shared" ref="G70:G134" si="5">IF(LEN(C70)&gt;3,0,IF(C70="","",IF(C70&gt;=0,IF(C70&lt;=597,0,1),1)))</f>
        <v>0</v>
      </c>
      <c r="J70" s="77" t="str">
        <f t="shared" si="3"/>
        <v>Done</v>
      </c>
    </row>
    <row r="71" spans="1:10" ht="18" x14ac:dyDescent="0.25">
      <c r="A71" s="21">
        <v>67</v>
      </c>
      <c r="B71" s="45" t="s">
        <v>466</v>
      </c>
      <c r="C71" s="72">
        <v>400</v>
      </c>
      <c r="D71" s="591" t="str">
        <f t="shared" si="4"/>
        <v>ü</v>
      </c>
      <c r="E71" s="592"/>
      <c r="G71" s="70">
        <f t="shared" si="5"/>
        <v>0</v>
      </c>
      <c r="J71" s="77" t="str">
        <f t="shared" si="3"/>
        <v>Done</v>
      </c>
    </row>
    <row r="72" spans="1:10" ht="18" x14ac:dyDescent="0.25">
      <c r="A72" s="21">
        <v>68</v>
      </c>
      <c r="B72" s="45" t="s">
        <v>467</v>
      </c>
      <c r="C72" s="475">
        <v>203200203</v>
      </c>
      <c r="D72" s="591" t="str">
        <f t="shared" si="4"/>
        <v>ü</v>
      </c>
      <c r="E72" s="592"/>
      <c r="G72" s="70">
        <f t="shared" si="5"/>
        <v>0</v>
      </c>
      <c r="J72" s="77" t="str">
        <f t="shared" si="3"/>
        <v>Done</v>
      </c>
    </row>
    <row r="73" spans="1:10" ht="18" x14ac:dyDescent="0.25">
      <c r="A73" s="21">
        <v>69</v>
      </c>
      <c r="B73" s="45" t="s">
        <v>469</v>
      </c>
      <c r="C73" s="72">
        <v>192</v>
      </c>
      <c r="D73" s="591" t="str">
        <f t="shared" si="4"/>
        <v>ü</v>
      </c>
      <c r="E73" s="592"/>
      <c r="G73" s="70">
        <f t="shared" si="5"/>
        <v>0</v>
      </c>
      <c r="J73" s="77" t="str">
        <f t="shared" si="3"/>
        <v>Done</v>
      </c>
    </row>
    <row r="74" spans="1:10" ht="18" x14ac:dyDescent="0.25">
      <c r="A74" s="21">
        <v>70</v>
      </c>
      <c r="B74" s="45" t="s">
        <v>470</v>
      </c>
      <c r="C74" s="475">
        <v>203200203</v>
      </c>
      <c r="D74" s="591" t="str">
        <f t="shared" si="4"/>
        <v>ü</v>
      </c>
      <c r="E74" s="592"/>
      <c r="G74" s="70">
        <f t="shared" si="5"/>
        <v>0</v>
      </c>
      <c r="J74" s="77" t="str">
        <f t="shared" si="3"/>
        <v>Done</v>
      </c>
    </row>
    <row r="75" spans="1:10" ht="18" x14ac:dyDescent="0.25">
      <c r="A75" s="21">
        <v>71</v>
      </c>
      <c r="B75" s="45" t="s">
        <v>475</v>
      </c>
      <c r="C75" s="72">
        <v>820</v>
      </c>
      <c r="D75" s="591" t="str">
        <f t="shared" si="4"/>
        <v/>
      </c>
      <c r="E75" s="592"/>
      <c r="G75" s="70">
        <f t="shared" si="5"/>
        <v>1</v>
      </c>
      <c r="J75" s="77" t="str">
        <f t="shared" si="3"/>
        <v>Not Done</v>
      </c>
    </row>
    <row r="76" spans="1:10" ht="18" x14ac:dyDescent="0.25">
      <c r="A76" s="21">
        <v>72</v>
      </c>
      <c r="B76" s="45" t="s">
        <v>476</v>
      </c>
      <c r="C76" s="72">
        <v>341</v>
      </c>
      <c r="D76" s="591" t="str">
        <f t="shared" si="4"/>
        <v>ü</v>
      </c>
      <c r="E76" s="592"/>
      <c r="G76" s="70">
        <f t="shared" si="5"/>
        <v>0</v>
      </c>
      <c r="J76" s="77" t="str">
        <f t="shared" si="3"/>
        <v>Done</v>
      </c>
    </row>
    <row r="77" spans="1:10" ht="18" x14ac:dyDescent="0.25">
      <c r="A77" s="21">
        <v>73</v>
      </c>
      <c r="B77" s="45" t="s">
        <v>477</v>
      </c>
      <c r="C77" s="72">
        <v>553</v>
      </c>
      <c r="D77" s="591" t="str">
        <f t="shared" si="4"/>
        <v>ü</v>
      </c>
      <c r="E77" s="592"/>
      <c r="G77" s="70">
        <f t="shared" si="5"/>
        <v>0</v>
      </c>
      <c r="J77" s="77" t="str">
        <f t="shared" si="3"/>
        <v>Done</v>
      </c>
    </row>
    <row r="78" spans="1:10" ht="18" x14ac:dyDescent="0.25">
      <c r="A78" s="21">
        <v>74</v>
      </c>
      <c r="B78" s="45" t="s">
        <v>478</v>
      </c>
      <c r="C78" s="475">
        <v>234231234</v>
      </c>
      <c r="D78" s="591" t="str">
        <f t="shared" si="4"/>
        <v>ü</v>
      </c>
      <c r="E78" s="592"/>
      <c r="G78" s="70">
        <f t="shared" si="5"/>
        <v>0</v>
      </c>
      <c r="J78" s="77" t="str">
        <f t="shared" si="3"/>
        <v>Done</v>
      </c>
    </row>
    <row r="79" spans="1:10" ht="18" x14ac:dyDescent="0.25">
      <c r="A79" s="21">
        <v>75</v>
      </c>
      <c r="B79" s="45" t="s">
        <v>482</v>
      </c>
      <c r="C79" s="72">
        <v>824</v>
      </c>
      <c r="D79" s="591" t="str">
        <f t="shared" si="4"/>
        <v/>
      </c>
      <c r="E79" s="592"/>
      <c r="G79" s="70">
        <f t="shared" si="5"/>
        <v>1</v>
      </c>
      <c r="J79" s="77" t="str">
        <f t="shared" si="3"/>
        <v>Not Done</v>
      </c>
    </row>
    <row r="80" spans="1:10" ht="18" x14ac:dyDescent="0.25">
      <c r="A80" s="21">
        <v>76</v>
      </c>
      <c r="B80" s="45" t="s">
        <v>483</v>
      </c>
      <c r="C80" s="72">
        <v>192</v>
      </c>
      <c r="D80" s="591" t="str">
        <f t="shared" si="4"/>
        <v>ü</v>
      </c>
      <c r="E80" s="592"/>
      <c r="G80" s="70">
        <f t="shared" si="5"/>
        <v>0</v>
      </c>
      <c r="J80" s="77" t="str">
        <f t="shared" si="3"/>
        <v>Done</v>
      </c>
    </row>
    <row r="81" spans="1:10" ht="18" x14ac:dyDescent="0.25">
      <c r="A81" s="21">
        <v>77</v>
      </c>
      <c r="B81" s="45" t="s">
        <v>484</v>
      </c>
      <c r="C81" s="72">
        <v>826</v>
      </c>
      <c r="D81" s="591" t="str">
        <f t="shared" si="4"/>
        <v/>
      </c>
      <c r="E81" s="592"/>
      <c r="G81" s="70">
        <f t="shared" si="5"/>
        <v>1</v>
      </c>
      <c r="J81" s="77" t="str">
        <f t="shared" si="3"/>
        <v>Not Done</v>
      </c>
    </row>
    <row r="82" spans="1:10" ht="18" x14ac:dyDescent="0.25">
      <c r="A82" s="21">
        <v>78</v>
      </c>
      <c r="B82" s="45" t="s">
        <v>485</v>
      </c>
      <c r="C82" s="72">
        <v>827</v>
      </c>
      <c r="D82" s="591" t="str">
        <f t="shared" si="4"/>
        <v/>
      </c>
      <c r="E82" s="592"/>
      <c r="G82" s="70">
        <f t="shared" si="5"/>
        <v>1</v>
      </c>
      <c r="J82" s="77" t="str">
        <f t="shared" si="3"/>
        <v>Not Done</v>
      </c>
    </row>
    <row r="83" spans="1:10" ht="18" x14ac:dyDescent="0.25">
      <c r="A83" s="21">
        <v>79</v>
      </c>
      <c r="B83" s="45" t="s">
        <v>486</v>
      </c>
      <c r="C83" s="475">
        <v>234231234231234</v>
      </c>
      <c r="D83" s="591" t="str">
        <f t="shared" si="4"/>
        <v>ü</v>
      </c>
      <c r="E83" s="592"/>
      <c r="G83" s="70">
        <f t="shared" si="5"/>
        <v>0</v>
      </c>
      <c r="J83" s="77" t="str">
        <f t="shared" si="3"/>
        <v>Done</v>
      </c>
    </row>
    <row r="84" spans="1:10" ht="18" x14ac:dyDescent="0.25">
      <c r="A84" s="21">
        <v>80</v>
      </c>
      <c r="B84" s="45" t="s">
        <v>490</v>
      </c>
      <c r="C84" s="512">
        <v>211208829</v>
      </c>
      <c r="D84" s="591" t="str">
        <f t="shared" si="4"/>
        <v>ü</v>
      </c>
      <c r="E84" s="592"/>
      <c r="G84" s="70">
        <f t="shared" si="5"/>
        <v>0</v>
      </c>
      <c r="J84" s="77" t="s">
        <v>679</v>
      </c>
    </row>
    <row r="85" spans="1:10" ht="18" x14ac:dyDescent="0.25">
      <c r="A85" s="21">
        <v>81</v>
      </c>
      <c r="B85" s="45" t="s">
        <v>493</v>
      </c>
      <c r="C85" s="72">
        <v>830</v>
      </c>
      <c r="D85" s="591" t="str">
        <f t="shared" si="4"/>
        <v/>
      </c>
      <c r="E85" s="592"/>
      <c r="G85" s="70">
        <f t="shared" si="5"/>
        <v>1</v>
      </c>
      <c r="J85" s="77" t="str">
        <f t="shared" si="3"/>
        <v>Not Done</v>
      </c>
    </row>
    <row r="86" spans="1:10" ht="18" x14ac:dyDescent="0.25">
      <c r="A86" s="21">
        <v>82</v>
      </c>
      <c r="B86" s="45" t="s">
        <v>494</v>
      </c>
      <c r="C86" s="72">
        <v>831</v>
      </c>
      <c r="D86" s="591" t="str">
        <f t="shared" si="4"/>
        <v/>
      </c>
      <c r="E86" s="592"/>
      <c r="G86" s="70">
        <f t="shared" si="5"/>
        <v>1</v>
      </c>
      <c r="J86" s="77" t="str">
        <f t="shared" si="3"/>
        <v>Not Done</v>
      </c>
    </row>
    <row r="87" spans="1:10" ht="18" x14ac:dyDescent="0.25">
      <c r="A87" s="21">
        <v>83</v>
      </c>
      <c r="B87" s="45" t="s">
        <v>495</v>
      </c>
      <c r="C87" s="72">
        <v>832</v>
      </c>
      <c r="D87" s="591" t="str">
        <f t="shared" si="4"/>
        <v/>
      </c>
      <c r="E87" s="592"/>
      <c r="G87" s="70">
        <f t="shared" si="5"/>
        <v>1</v>
      </c>
      <c r="J87" s="77" t="str">
        <f t="shared" si="3"/>
        <v>Not Done</v>
      </c>
    </row>
    <row r="88" spans="1:10" ht="18" x14ac:dyDescent="0.25">
      <c r="A88" s="21">
        <v>84</v>
      </c>
      <c r="B88" s="45" t="s">
        <v>496</v>
      </c>
      <c r="C88" s="78">
        <v>341</v>
      </c>
      <c r="D88" s="591" t="str">
        <f t="shared" si="4"/>
        <v>ü</v>
      </c>
      <c r="E88" s="592"/>
      <c r="G88" s="70">
        <f t="shared" si="5"/>
        <v>0</v>
      </c>
      <c r="J88" s="77" t="str">
        <f t="shared" si="3"/>
        <v>Done</v>
      </c>
    </row>
    <row r="89" spans="1:10" ht="18" x14ac:dyDescent="0.25">
      <c r="A89" s="21">
        <v>85</v>
      </c>
      <c r="B89" s="45" t="s">
        <v>497</v>
      </c>
      <c r="C89" s="72">
        <v>834</v>
      </c>
      <c r="D89" s="591" t="str">
        <f t="shared" si="4"/>
        <v/>
      </c>
      <c r="E89" s="592"/>
      <c r="G89" s="70">
        <f t="shared" si="5"/>
        <v>1</v>
      </c>
      <c r="J89" s="77" t="str">
        <f t="shared" si="3"/>
        <v>Not Done</v>
      </c>
    </row>
    <row r="90" spans="1:10" ht="18" x14ac:dyDescent="0.25">
      <c r="A90" s="21">
        <v>86</v>
      </c>
      <c r="B90" s="45" t="s">
        <v>499</v>
      </c>
      <c r="C90" s="476">
        <v>209206209</v>
      </c>
      <c r="D90" s="591" t="str">
        <f t="shared" si="4"/>
        <v>ü</v>
      </c>
      <c r="E90" s="592"/>
      <c r="G90" s="70">
        <f t="shared" si="5"/>
        <v>0</v>
      </c>
      <c r="J90" s="77" t="str">
        <f t="shared" si="3"/>
        <v>Done</v>
      </c>
    </row>
    <row r="91" spans="1:10" ht="18" x14ac:dyDescent="0.25">
      <c r="A91" s="21">
        <v>87</v>
      </c>
      <c r="B91" s="45" t="s">
        <v>502</v>
      </c>
      <c r="C91" s="475">
        <v>234231234</v>
      </c>
      <c r="D91" s="591" t="str">
        <f t="shared" si="4"/>
        <v>ü</v>
      </c>
      <c r="E91" s="592"/>
      <c r="G91" s="70">
        <f t="shared" si="5"/>
        <v>0</v>
      </c>
      <c r="J91" s="77" t="str">
        <f t="shared" si="3"/>
        <v>Done</v>
      </c>
    </row>
    <row r="92" spans="1:10" ht="18" x14ac:dyDescent="0.25">
      <c r="A92" s="21">
        <v>88</v>
      </c>
      <c r="B92" s="45" t="s">
        <v>504</v>
      </c>
      <c r="C92" s="78">
        <v>837</v>
      </c>
      <c r="D92" s="591" t="str">
        <f t="shared" si="4"/>
        <v/>
      </c>
      <c r="E92" s="592"/>
      <c r="G92" s="70">
        <f t="shared" si="5"/>
        <v>1</v>
      </c>
      <c r="J92" s="77" t="str">
        <f t="shared" si="3"/>
        <v>Not Done</v>
      </c>
    </row>
    <row r="93" spans="1:10" ht="18" x14ac:dyDescent="0.25">
      <c r="A93" s="21">
        <v>89</v>
      </c>
      <c r="B93" s="45" t="s">
        <v>505</v>
      </c>
      <c r="C93" s="72">
        <v>838</v>
      </c>
      <c r="D93" s="591" t="str">
        <f t="shared" si="4"/>
        <v/>
      </c>
      <c r="E93" s="592"/>
      <c r="G93" s="70">
        <f t="shared" si="5"/>
        <v>1</v>
      </c>
      <c r="J93" s="77" t="str">
        <f t="shared" si="3"/>
        <v>Not Done</v>
      </c>
    </row>
    <row r="94" spans="1:10" ht="18" x14ac:dyDescent="0.25">
      <c r="A94" s="21">
        <v>90</v>
      </c>
      <c r="B94" s="45" t="s">
        <v>506</v>
      </c>
      <c r="C94" s="78">
        <v>839</v>
      </c>
      <c r="D94" s="591" t="str">
        <f t="shared" si="4"/>
        <v/>
      </c>
      <c r="E94" s="592"/>
      <c r="G94" s="70">
        <f t="shared" si="5"/>
        <v>1</v>
      </c>
      <c r="J94" s="77" t="str">
        <f t="shared" si="3"/>
        <v>Not Done</v>
      </c>
    </row>
    <row r="95" spans="1:10" ht="18" x14ac:dyDescent="0.25">
      <c r="A95" s="21">
        <v>91</v>
      </c>
      <c r="B95" s="45" t="s">
        <v>507</v>
      </c>
      <c r="C95" s="72">
        <v>541</v>
      </c>
      <c r="D95" s="591" t="str">
        <f t="shared" si="4"/>
        <v>ü</v>
      </c>
      <c r="E95" s="592"/>
      <c r="G95" s="70">
        <f t="shared" si="5"/>
        <v>0</v>
      </c>
      <c r="J95" s="77" t="str">
        <f t="shared" si="3"/>
        <v>Done</v>
      </c>
    </row>
    <row r="96" spans="1:10" ht="18" x14ac:dyDescent="0.25">
      <c r="A96" s="21">
        <v>92</v>
      </c>
      <c r="B96" s="45" t="s">
        <v>508</v>
      </c>
      <c r="C96" s="72">
        <v>541</v>
      </c>
      <c r="D96" s="591" t="str">
        <f t="shared" si="4"/>
        <v>ü</v>
      </c>
      <c r="E96" s="592"/>
      <c r="G96" s="70">
        <f t="shared" si="5"/>
        <v>0</v>
      </c>
      <c r="J96" s="77" t="str">
        <f t="shared" si="3"/>
        <v>Done</v>
      </c>
    </row>
    <row r="97" spans="1:10" ht="18" x14ac:dyDescent="0.25">
      <c r="A97" s="21">
        <v>93</v>
      </c>
      <c r="B97" s="45" t="s">
        <v>509</v>
      </c>
      <c r="C97" s="72">
        <v>541</v>
      </c>
      <c r="D97" s="591" t="str">
        <f t="shared" si="4"/>
        <v>ü</v>
      </c>
      <c r="E97" s="592"/>
      <c r="G97" s="70">
        <f t="shared" si="5"/>
        <v>0</v>
      </c>
      <c r="J97" s="77" t="str">
        <f t="shared" si="3"/>
        <v>Done</v>
      </c>
    </row>
    <row r="98" spans="1:10" ht="18" x14ac:dyDescent="0.25">
      <c r="A98" s="21">
        <v>94</v>
      </c>
      <c r="B98" s="45" t="s">
        <v>510</v>
      </c>
      <c r="C98" s="72">
        <v>541</v>
      </c>
      <c r="D98" s="591" t="str">
        <f t="shared" si="4"/>
        <v>ü</v>
      </c>
      <c r="E98" s="592"/>
      <c r="G98" s="70">
        <f t="shared" si="5"/>
        <v>0</v>
      </c>
      <c r="J98" s="77" t="str">
        <f t="shared" si="3"/>
        <v>Done</v>
      </c>
    </row>
    <row r="99" spans="1:10" ht="18" x14ac:dyDescent="0.25">
      <c r="A99" s="21">
        <v>95</v>
      </c>
      <c r="B99" s="45" t="s">
        <v>511</v>
      </c>
      <c r="C99" s="72">
        <v>541</v>
      </c>
      <c r="D99" s="591" t="str">
        <f t="shared" si="4"/>
        <v>ü</v>
      </c>
      <c r="E99" s="592"/>
      <c r="G99" s="70">
        <f t="shared" si="5"/>
        <v>0</v>
      </c>
      <c r="J99" s="77" t="str">
        <f t="shared" si="3"/>
        <v>Done</v>
      </c>
    </row>
    <row r="100" spans="1:10" ht="18" x14ac:dyDescent="0.25">
      <c r="A100" s="21">
        <v>96</v>
      </c>
      <c r="B100" s="45" t="s">
        <v>512</v>
      </c>
      <c r="C100" s="72">
        <v>541</v>
      </c>
      <c r="D100" s="591" t="str">
        <f t="shared" si="4"/>
        <v>ü</v>
      </c>
      <c r="E100" s="592"/>
      <c r="G100" s="70">
        <f t="shared" si="5"/>
        <v>0</v>
      </c>
      <c r="J100" s="77" t="str">
        <f t="shared" si="3"/>
        <v>Done</v>
      </c>
    </row>
    <row r="101" spans="1:10" ht="18" x14ac:dyDescent="0.25">
      <c r="A101" s="21">
        <v>97</v>
      </c>
      <c r="B101" s="45" t="s">
        <v>513</v>
      </c>
      <c r="C101" s="72">
        <v>846</v>
      </c>
      <c r="D101" s="591" t="str">
        <f t="shared" si="4"/>
        <v/>
      </c>
      <c r="E101" s="592"/>
      <c r="G101" s="70">
        <f t="shared" si="5"/>
        <v>1</v>
      </c>
      <c r="J101" s="77" t="str">
        <f t="shared" si="3"/>
        <v>Not Done</v>
      </c>
    </row>
    <row r="102" spans="1:10" ht="18" x14ac:dyDescent="0.25">
      <c r="A102" s="21">
        <v>98</v>
      </c>
      <c r="B102" s="45" t="s">
        <v>514</v>
      </c>
      <c r="C102" s="72">
        <v>550</v>
      </c>
      <c r="D102" s="591" t="str">
        <f t="shared" si="4"/>
        <v>ü</v>
      </c>
      <c r="E102" s="592"/>
      <c r="G102" s="70">
        <f t="shared" si="5"/>
        <v>0</v>
      </c>
      <c r="J102" s="77" t="str">
        <f t="shared" si="3"/>
        <v>Done</v>
      </c>
    </row>
    <row r="103" spans="1:10" ht="18" x14ac:dyDescent="0.25">
      <c r="A103" s="21">
        <v>99</v>
      </c>
      <c r="B103" s="45" t="s">
        <v>515</v>
      </c>
      <c r="C103" s="72">
        <v>500</v>
      </c>
      <c r="D103" s="591" t="str">
        <f t="shared" si="4"/>
        <v>ü</v>
      </c>
      <c r="E103" s="592"/>
      <c r="G103" s="70">
        <f t="shared" si="5"/>
        <v>0</v>
      </c>
      <c r="J103" s="77" t="str">
        <f t="shared" si="3"/>
        <v>Done</v>
      </c>
    </row>
    <row r="104" spans="1:10" ht="18" x14ac:dyDescent="0.25">
      <c r="A104" s="21">
        <v>100</v>
      </c>
      <c r="B104" s="45" t="s">
        <v>516</v>
      </c>
      <c r="C104" s="475">
        <v>203200203</v>
      </c>
      <c r="D104" s="591" t="str">
        <f t="shared" si="4"/>
        <v>ü</v>
      </c>
      <c r="E104" s="592"/>
      <c r="G104" s="70">
        <f t="shared" si="5"/>
        <v>0</v>
      </c>
      <c r="J104" s="77" t="str">
        <f t="shared" si="3"/>
        <v>Done</v>
      </c>
    </row>
    <row r="105" spans="1:10" ht="18" x14ac:dyDescent="0.25">
      <c r="A105" s="21">
        <v>101</v>
      </c>
      <c r="B105" s="45" t="s">
        <v>519</v>
      </c>
      <c r="C105" s="72">
        <v>453</v>
      </c>
      <c r="D105" s="591" t="str">
        <f t="shared" si="4"/>
        <v>ü</v>
      </c>
      <c r="E105" s="592"/>
      <c r="G105" s="70">
        <f t="shared" si="5"/>
        <v>0</v>
      </c>
      <c r="J105" s="77" t="str">
        <f t="shared" si="3"/>
        <v>Done</v>
      </c>
    </row>
    <row r="106" spans="1:10" ht="18" x14ac:dyDescent="0.25">
      <c r="A106" s="21">
        <v>102</v>
      </c>
      <c r="B106" s="45" t="s">
        <v>520</v>
      </c>
      <c r="C106" s="72">
        <v>851</v>
      </c>
      <c r="D106" s="591" t="str">
        <f t="shared" si="4"/>
        <v/>
      </c>
      <c r="E106" s="592"/>
      <c r="G106" s="70">
        <f t="shared" si="5"/>
        <v>1</v>
      </c>
      <c r="J106" s="77" t="str">
        <f t="shared" si="3"/>
        <v>Not Done</v>
      </c>
    </row>
    <row r="107" spans="1:10" ht="18" x14ac:dyDescent="0.25">
      <c r="A107" s="21">
        <v>103</v>
      </c>
      <c r="B107" s="45" t="s">
        <v>523</v>
      </c>
      <c r="C107" s="72">
        <v>192</v>
      </c>
      <c r="D107" s="591" t="str">
        <f t="shared" si="4"/>
        <v>ü</v>
      </c>
      <c r="E107" s="592"/>
      <c r="G107" s="70">
        <f t="shared" si="5"/>
        <v>0</v>
      </c>
      <c r="J107" s="77" t="str">
        <f t="shared" si="3"/>
        <v>Done</v>
      </c>
    </row>
    <row r="108" spans="1:10" ht="18" x14ac:dyDescent="0.25">
      <c r="A108" s="21">
        <v>104</v>
      </c>
      <c r="B108" s="45" t="s">
        <v>524</v>
      </c>
      <c r="C108" s="72">
        <v>450</v>
      </c>
      <c r="D108" s="591" t="str">
        <f t="shared" si="4"/>
        <v>ü</v>
      </c>
      <c r="E108" s="592"/>
      <c r="G108" s="70">
        <f t="shared" si="5"/>
        <v>0</v>
      </c>
      <c r="J108" s="77" t="str">
        <f t="shared" si="3"/>
        <v>Done</v>
      </c>
    </row>
    <row r="109" spans="1:10" ht="18" x14ac:dyDescent="0.25">
      <c r="A109" s="21">
        <v>105</v>
      </c>
      <c r="B109" s="45" t="s">
        <v>525</v>
      </c>
      <c r="C109" s="475">
        <v>203200203</v>
      </c>
      <c r="D109" s="591" t="str">
        <f t="shared" si="4"/>
        <v>ü</v>
      </c>
      <c r="E109" s="592"/>
      <c r="G109" s="70">
        <f t="shared" si="5"/>
        <v>0</v>
      </c>
      <c r="J109" s="77" t="str">
        <f t="shared" si="3"/>
        <v>Done</v>
      </c>
    </row>
    <row r="110" spans="1:10" ht="18" x14ac:dyDescent="0.25">
      <c r="A110" s="21">
        <v>106</v>
      </c>
      <c r="B110" s="45" t="s">
        <v>529</v>
      </c>
      <c r="C110" s="72">
        <v>855</v>
      </c>
      <c r="D110" s="591" t="str">
        <f t="shared" si="4"/>
        <v/>
      </c>
      <c r="E110" s="592"/>
      <c r="G110" s="70">
        <f t="shared" si="5"/>
        <v>1</v>
      </c>
      <c r="J110" s="77" t="str">
        <f t="shared" si="3"/>
        <v>Not Done</v>
      </c>
    </row>
    <row r="111" spans="1:10" ht="18" x14ac:dyDescent="0.25">
      <c r="A111" s="21">
        <v>107</v>
      </c>
      <c r="B111" s="45" t="s">
        <v>530</v>
      </c>
      <c r="C111" s="475">
        <v>228225228</v>
      </c>
      <c r="D111" s="591" t="str">
        <f t="shared" si="4"/>
        <v>ü</v>
      </c>
      <c r="E111" s="592"/>
      <c r="G111" s="70">
        <f t="shared" si="5"/>
        <v>0</v>
      </c>
      <c r="J111" s="77" t="str">
        <f t="shared" si="3"/>
        <v>Done</v>
      </c>
    </row>
    <row r="112" spans="1:10" ht="18" x14ac:dyDescent="0.25">
      <c r="A112" s="21">
        <v>108</v>
      </c>
      <c r="B112" s="45" t="s">
        <v>533</v>
      </c>
      <c r="C112" s="496">
        <v>203200203200203</v>
      </c>
      <c r="D112" s="591" t="str">
        <f t="shared" si="4"/>
        <v>ü</v>
      </c>
      <c r="E112" s="592"/>
      <c r="G112" s="70">
        <f t="shared" si="5"/>
        <v>0</v>
      </c>
      <c r="J112" s="77" t="str">
        <f t="shared" si="3"/>
        <v>Done</v>
      </c>
    </row>
    <row r="113" spans="1:10" ht="18" x14ac:dyDescent="0.25">
      <c r="A113" s="21">
        <v>109</v>
      </c>
      <c r="B113" s="45" t="s">
        <v>535</v>
      </c>
      <c r="C113" s="72">
        <v>500</v>
      </c>
      <c r="D113" s="591" t="str">
        <f t="shared" si="4"/>
        <v>ü</v>
      </c>
      <c r="E113" s="592"/>
      <c r="G113" s="70">
        <f t="shared" si="5"/>
        <v>0</v>
      </c>
      <c r="J113" s="77" t="str">
        <f t="shared" si="3"/>
        <v>Done</v>
      </c>
    </row>
    <row r="114" spans="1:10" ht="18" x14ac:dyDescent="0.25">
      <c r="A114" s="21">
        <v>110</v>
      </c>
      <c r="B114" s="45" t="s">
        <v>536</v>
      </c>
      <c r="C114" s="72">
        <v>859</v>
      </c>
      <c r="D114" s="591" t="str">
        <f t="shared" si="4"/>
        <v/>
      </c>
      <c r="E114" s="592"/>
      <c r="G114" s="70">
        <f t="shared" si="5"/>
        <v>1</v>
      </c>
      <c r="J114" s="77" t="str">
        <f t="shared" si="3"/>
        <v>Not Done</v>
      </c>
    </row>
    <row r="115" spans="1:10" ht="18" x14ac:dyDescent="0.25">
      <c r="A115" s="21">
        <v>111</v>
      </c>
      <c r="B115" s="45" t="s">
        <v>537</v>
      </c>
      <c r="C115" s="496">
        <v>203200203200203</v>
      </c>
      <c r="D115" s="591" t="str">
        <f t="shared" si="4"/>
        <v>ü</v>
      </c>
      <c r="E115" s="592"/>
      <c r="G115" s="70">
        <f t="shared" si="5"/>
        <v>0</v>
      </c>
      <c r="J115" s="77" t="str">
        <f t="shared" si="3"/>
        <v>Done</v>
      </c>
    </row>
    <row r="116" spans="1:10" ht="18" x14ac:dyDescent="0.25">
      <c r="A116" s="21">
        <v>112</v>
      </c>
      <c r="B116" s="45" t="s">
        <v>540</v>
      </c>
      <c r="C116" s="72">
        <v>861</v>
      </c>
      <c r="D116" s="591" t="str">
        <f t="shared" si="4"/>
        <v/>
      </c>
      <c r="E116" s="592"/>
      <c r="G116" s="70">
        <f t="shared" si="5"/>
        <v>1</v>
      </c>
      <c r="J116" s="77" t="str">
        <f t="shared" si="3"/>
        <v>Not Done</v>
      </c>
    </row>
    <row r="117" spans="1:10" ht="18" x14ac:dyDescent="0.25">
      <c r="A117" s="21">
        <v>113</v>
      </c>
      <c r="B117" s="45" t="s">
        <v>541</v>
      </c>
      <c r="C117" s="72">
        <v>862</v>
      </c>
      <c r="D117" s="591" t="str">
        <f t="shared" si="4"/>
        <v/>
      </c>
      <c r="E117" s="592"/>
      <c r="G117" s="70">
        <f t="shared" si="5"/>
        <v>1</v>
      </c>
      <c r="J117" s="77" t="str">
        <f t="shared" si="3"/>
        <v>Not Done</v>
      </c>
    </row>
    <row r="118" spans="1:10" ht="18" x14ac:dyDescent="0.25">
      <c r="A118" s="21">
        <v>114</v>
      </c>
      <c r="B118" s="45" t="s">
        <v>542</v>
      </c>
      <c r="C118" s="72">
        <v>550</v>
      </c>
      <c r="D118" s="591" t="str">
        <f t="shared" si="4"/>
        <v>ü</v>
      </c>
      <c r="E118" s="592"/>
      <c r="G118" s="70">
        <f t="shared" si="5"/>
        <v>0</v>
      </c>
      <c r="J118" s="77" t="str">
        <f t="shared" si="3"/>
        <v>Done</v>
      </c>
    </row>
    <row r="119" spans="1:10" ht="18" x14ac:dyDescent="0.25">
      <c r="A119" s="21">
        <v>115</v>
      </c>
      <c r="B119" s="45" t="s">
        <v>543</v>
      </c>
      <c r="C119" s="475">
        <v>228225228225228</v>
      </c>
      <c r="D119" s="591" t="str">
        <f t="shared" si="4"/>
        <v>ü</v>
      </c>
      <c r="E119" s="592"/>
      <c r="G119" s="70">
        <f t="shared" si="5"/>
        <v>0</v>
      </c>
      <c r="J119" s="77" t="str">
        <f t="shared" si="3"/>
        <v>Done</v>
      </c>
    </row>
    <row r="120" spans="1:10" ht="18" x14ac:dyDescent="0.25">
      <c r="A120" s="21">
        <v>116</v>
      </c>
      <c r="B120" s="45" t="s">
        <v>546</v>
      </c>
      <c r="C120" s="72">
        <v>192</v>
      </c>
      <c r="D120" s="591" t="str">
        <f t="shared" si="4"/>
        <v>ü</v>
      </c>
      <c r="E120" s="592"/>
      <c r="G120" s="70">
        <f t="shared" si="5"/>
        <v>0</v>
      </c>
      <c r="J120" s="77" t="str">
        <f t="shared" si="3"/>
        <v>Done</v>
      </c>
    </row>
    <row r="121" spans="1:10" ht="18" x14ac:dyDescent="0.25">
      <c r="A121" s="21">
        <v>117</v>
      </c>
      <c r="B121" s="45" t="s">
        <v>547</v>
      </c>
      <c r="C121" s="72">
        <v>350</v>
      </c>
      <c r="D121" s="591" t="str">
        <f t="shared" si="4"/>
        <v>ü</v>
      </c>
      <c r="E121" s="592"/>
      <c r="G121" s="70">
        <f t="shared" si="5"/>
        <v>0</v>
      </c>
      <c r="J121" s="77" t="str">
        <f t="shared" ref="J121:J185" si="6">IF(D121="","Not Done","Done")</f>
        <v>Done</v>
      </c>
    </row>
    <row r="122" spans="1:10" ht="18" x14ac:dyDescent="0.25">
      <c r="A122" s="21">
        <v>118</v>
      </c>
      <c r="B122" s="45" t="s">
        <v>548</v>
      </c>
      <c r="C122" s="72">
        <v>867</v>
      </c>
      <c r="D122" s="591" t="str">
        <f t="shared" si="4"/>
        <v/>
      </c>
      <c r="E122" s="592"/>
      <c r="G122" s="70">
        <f t="shared" si="5"/>
        <v>1</v>
      </c>
      <c r="J122" s="77" t="str">
        <f t="shared" si="6"/>
        <v>Not Done</v>
      </c>
    </row>
    <row r="123" spans="1:10" ht="18" x14ac:dyDescent="0.25">
      <c r="A123" s="21">
        <v>119</v>
      </c>
      <c r="B123" s="45" t="s">
        <v>549</v>
      </c>
      <c r="C123" s="72">
        <v>192</v>
      </c>
      <c r="D123" s="591" t="str">
        <f t="shared" si="4"/>
        <v>ü</v>
      </c>
      <c r="E123" s="592"/>
      <c r="G123" s="70">
        <f t="shared" si="5"/>
        <v>0</v>
      </c>
      <c r="J123" s="77" t="str">
        <f t="shared" si="6"/>
        <v>Done</v>
      </c>
    </row>
    <row r="124" spans="1:10" ht="18" x14ac:dyDescent="0.25">
      <c r="A124" s="21">
        <v>120</v>
      </c>
      <c r="B124" s="45" t="s">
        <v>550</v>
      </c>
      <c r="C124" s="72">
        <v>400</v>
      </c>
      <c r="D124" s="591" t="str">
        <f t="shared" si="4"/>
        <v>ü</v>
      </c>
      <c r="E124" s="592"/>
      <c r="G124" s="70">
        <f t="shared" si="5"/>
        <v>0</v>
      </c>
      <c r="J124" s="77" t="str">
        <f t="shared" si="6"/>
        <v>Done</v>
      </c>
    </row>
    <row r="125" spans="1:10" ht="18" x14ac:dyDescent="0.25">
      <c r="A125" s="21">
        <v>121</v>
      </c>
      <c r="B125" s="45" t="s">
        <v>551</v>
      </c>
      <c r="C125" s="72">
        <v>450</v>
      </c>
      <c r="D125" s="591" t="str">
        <f t="shared" si="4"/>
        <v>ü</v>
      </c>
      <c r="E125" s="592"/>
      <c r="G125" s="70">
        <f t="shared" si="5"/>
        <v>0</v>
      </c>
      <c r="J125" s="77" t="str">
        <f t="shared" si="6"/>
        <v>Done</v>
      </c>
    </row>
    <row r="126" spans="1:10" ht="18" x14ac:dyDescent="0.25">
      <c r="A126" s="21">
        <v>122</v>
      </c>
      <c r="B126" s="45" t="s">
        <v>552</v>
      </c>
      <c r="C126" s="72">
        <v>450</v>
      </c>
      <c r="D126" s="591" t="str">
        <f t="shared" si="4"/>
        <v>ü</v>
      </c>
      <c r="E126" s="592"/>
      <c r="G126" s="70">
        <f t="shared" si="5"/>
        <v>0</v>
      </c>
      <c r="J126" s="77" t="str">
        <f t="shared" si="6"/>
        <v>Done</v>
      </c>
    </row>
    <row r="127" spans="1:10" ht="18" x14ac:dyDescent="0.25">
      <c r="A127" s="21">
        <v>193</v>
      </c>
      <c r="B127" s="45" t="s">
        <v>691</v>
      </c>
      <c r="C127" s="72">
        <v>872</v>
      </c>
      <c r="D127" s="591" t="str">
        <f t="shared" ref="D127" si="7">IF(LEN(C127)&gt;3,"ü",IF(C127="","",IF(C127&gt;=0,IF(C127&lt;=597,"ü",""),"")))</f>
        <v/>
      </c>
      <c r="E127" s="592"/>
      <c r="G127" s="70">
        <f t="shared" si="5"/>
        <v>1</v>
      </c>
      <c r="J127" s="77" t="str">
        <f t="shared" si="6"/>
        <v>Not Done</v>
      </c>
    </row>
    <row r="128" spans="1:10" ht="18" x14ac:dyDescent="0.25">
      <c r="A128" s="21">
        <v>123</v>
      </c>
      <c r="B128" s="45" t="s">
        <v>553</v>
      </c>
      <c r="C128" s="72">
        <v>522</v>
      </c>
      <c r="D128" s="591" t="str">
        <f t="shared" si="4"/>
        <v>ü</v>
      </c>
      <c r="E128" s="592"/>
      <c r="G128" s="70">
        <f t="shared" si="5"/>
        <v>0</v>
      </c>
      <c r="J128" s="77" t="str">
        <f t="shared" si="6"/>
        <v>Done</v>
      </c>
    </row>
    <row r="129" spans="1:10" ht="18" x14ac:dyDescent="0.25">
      <c r="A129" s="21">
        <v>124</v>
      </c>
      <c r="B129" s="45" t="s">
        <v>554</v>
      </c>
      <c r="C129" s="475">
        <v>203200203200203</v>
      </c>
      <c r="D129" s="591" t="str">
        <f t="shared" si="4"/>
        <v>ü</v>
      </c>
      <c r="E129" s="592"/>
      <c r="G129" s="70">
        <f t="shared" si="5"/>
        <v>0</v>
      </c>
      <c r="J129" s="77" t="str">
        <f t="shared" si="6"/>
        <v>Done</v>
      </c>
    </row>
    <row r="130" spans="1:10" ht="18" x14ac:dyDescent="0.25">
      <c r="A130" s="21">
        <v>125</v>
      </c>
      <c r="B130" s="45" t="s">
        <v>558</v>
      </c>
      <c r="C130" s="72">
        <v>192</v>
      </c>
      <c r="D130" s="591" t="str">
        <f t="shared" si="4"/>
        <v>ü</v>
      </c>
      <c r="E130" s="592"/>
      <c r="G130" s="70">
        <f t="shared" si="5"/>
        <v>0</v>
      </c>
      <c r="J130" s="77" t="str">
        <f t="shared" si="6"/>
        <v>Done</v>
      </c>
    </row>
    <row r="131" spans="1:10" ht="18" x14ac:dyDescent="0.25">
      <c r="A131" s="21">
        <v>126</v>
      </c>
      <c r="B131" s="45" t="s">
        <v>559</v>
      </c>
      <c r="C131" s="72">
        <v>192</v>
      </c>
      <c r="D131" s="591" t="str">
        <f t="shared" si="4"/>
        <v>ü</v>
      </c>
      <c r="E131" s="592"/>
      <c r="G131" s="70">
        <f t="shared" si="5"/>
        <v>0</v>
      </c>
      <c r="J131" s="77" t="str">
        <f t="shared" si="6"/>
        <v>Done</v>
      </c>
    </row>
    <row r="132" spans="1:10" ht="18" x14ac:dyDescent="0.25">
      <c r="A132" s="21">
        <v>127</v>
      </c>
      <c r="B132" s="45" t="s">
        <v>560</v>
      </c>
      <c r="C132" s="72">
        <v>876</v>
      </c>
      <c r="D132" s="591" t="str">
        <f t="shared" si="4"/>
        <v/>
      </c>
      <c r="E132" s="592"/>
      <c r="G132" s="70">
        <f t="shared" si="5"/>
        <v>1</v>
      </c>
      <c r="J132" s="77" t="str">
        <f t="shared" si="6"/>
        <v>Not Done</v>
      </c>
    </row>
    <row r="133" spans="1:10" ht="18" x14ac:dyDescent="0.25">
      <c r="A133" s="21">
        <v>128</v>
      </c>
      <c r="B133" s="45" t="s">
        <v>561</v>
      </c>
      <c r="C133" s="72">
        <v>192</v>
      </c>
      <c r="D133" s="591" t="str">
        <f t="shared" si="4"/>
        <v>ü</v>
      </c>
      <c r="E133" s="592"/>
      <c r="G133" s="70">
        <f t="shared" si="5"/>
        <v>0</v>
      </c>
      <c r="J133" s="77" t="str">
        <f t="shared" si="6"/>
        <v>Done</v>
      </c>
    </row>
    <row r="134" spans="1:10" ht="18" x14ac:dyDescent="0.25">
      <c r="A134" s="21">
        <v>129</v>
      </c>
      <c r="B134" s="45" t="s">
        <v>562</v>
      </c>
      <c r="C134" s="72">
        <v>341</v>
      </c>
      <c r="D134" s="591" t="str">
        <f t="shared" si="4"/>
        <v>ü</v>
      </c>
      <c r="E134" s="592"/>
      <c r="G134" s="70">
        <f t="shared" si="5"/>
        <v>0</v>
      </c>
      <c r="J134" s="77" t="str">
        <f t="shared" si="6"/>
        <v>Done</v>
      </c>
    </row>
    <row r="135" spans="1:10" ht="18" x14ac:dyDescent="0.25">
      <c r="A135" s="21">
        <v>130</v>
      </c>
      <c r="B135" s="45" t="s">
        <v>563</v>
      </c>
      <c r="C135" s="72">
        <v>192</v>
      </c>
      <c r="D135" s="591" t="str">
        <f t="shared" ref="D135:D176" si="8">IF(LEN(C135)&gt;3,"ü",IF(C135="","",IF(C135&gt;=0,IF(C135&lt;=597,"ü",""),"")))</f>
        <v>ü</v>
      </c>
      <c r="E135" s="592"/>
      <c r="G135" s="70">
        <f t="shared" ref="G135:G197" si="9">IF(LEN(C135)&gt;3,0,IF(C135="","",IF(C135&gt;=0,IF(C135&lt;=597,0,1),1)))</f>
        <v>0</v>
      </c>
      <c r="J135" s="77" t="str">
        <f t="shared" si="6"/>
        <v>Done</v>
      </c>
    </row>
    <row r="136" spans="1:10" ht="18" x14ac:dyDescent="0.25">
      <c r="A136" s="21">
        <v>131</v>
      </c>
      <c r="B136" s="45" t="s">
        <v>564</v>
      </c>
      <c r="C136" s="72">
        <v>880</v>
      </c>
      <c r="D136" s="591" t="str">
        <f t="shared" si="8"/>
        <v/>
      </c>
      <c r="E136" s="592"/>
      <c r="G136" s="70">
        <f t="shared" si="9"/>
        <v>1</v>
      </c>
      <c r="J136" s="77" t="str">
        <f t="shared" si="6"/>
        <v>Not Done</v>
      </c>
    </row>
    <row r="137" spans="1:10" ht="18" x14ac:dyDescent="0.25">
      <c r="A137" s="21">
        <v>132</v>
      </c>
      <c r="B137" s="45" t="s">
        <v>565</v>
      </c>
      <c r="C137" s="72">
        <v>341</v>
      </c>
      <c r="D137" s="591" t="str">
        <f t="shared" si="8"/>
        <v>ü</v>
      </c>
      <c r="E137" s="592"/>
      <c r="G137" s="70">
        <f t="shared" si="9"/>
        <v>0</v>
      </c>
      <c r="J137" s="77" t="str">
        <f t="shared" si="6"/>
        <v>Done</v>
      </c>
    </row>
    <row r="138" spans="1:10" ht="18" x14ac:dyDescent="0.25">
      <c r="A138" s="21">
        <v>133</v>
      </c>
      <c r="B138" s="45" t="s">
        <v>566</v>
      </c>
      <c r="C138" s="72">
        <v>572</v>
      </c>
      <c r="D138" s="591" t="str">
        <f t="shared" si="8"/>
        <v>ü</v>
      </c>
      <c r="E138" s="592"/>
      <c r="G138" s="70">
        <f t="shared" si="9"/>
        <v>0</v>
      </c>
      <c r="J138" s="77" t="str">
        <f t="shared" si="6"/>
        <v>Done</v>
      </c>
    </row>
    <row r="139" spans="1:10" ht="18" x14ac:dyDescent="0.25">
      <c r="A139" s="21">
        <v>134</v>
      </c>
      <c r="B139" s="45" t="s">
        <v>567</v>
      </c>
      <c r="C139" s="72">
        <v>883</v>
      </c>
      <c r="D139" s="591" t="str">
        <f t="shared" si="8"/>
        <v/>
      </c>
      <c r="E139" s="592"/>
      <c r="G139" s="70">
        <f t="shared" si="9"/>
        <v>1</v>
      </c>
      <c r="J139" s="77" t="str">
        <f t="shared" si="6"/>
        <v>Not Done</v>
      </c>
    </row>
    <row r="140" spans="1:10" ht="18" x14ac:dyDescent="0.25">
      <c r="A140" s="21">
        <v>135</v>
      </c>
      <c r="B140" s="45" t="s">
        <v>568</v>
      </c>
      <c r="C140" s="72">
        <v>341</v>
      </c>
      <c r="D140" s="591" t="str">
        <f t="shared" si="8"/>
        <v>ü</v>
      </c>
      <c r="E140" s="592"/>
      <c r="G140" s="70">
        <f t="shared" si="9"/>
        <v>0</v>
      </c>
      <c r="J140" s="77" t="str">
        <f t="shared" si="6"/>
        <v>Done</v>
      </c>
    </row>
    <row r="141" spans="1:10" ht="18" x14ac:dyDescent="0.25">
      <c r="A141" s="21">
        <v>136</v>
      </c>
      <c r="B141" s="45" t="s">
        <v>569</v>
      </c>
      <c r="C141" s="475">
        <v>297294297</v>
      </c>
      <c r="D141" s="591" t="str">
        <f t="shared" si="8"/>
        <v>ü</v>
      </c>
      <c r="E141" s="592"/>
      <c r="G141" s="70">
        <f t="shared" si="9"/>
        <v>0</v>
      </c>
      <c r="J141" s="77" t="str">
        <f t="shared" si="6"/>
        <v>Done</v>
      </c>
    </row>
    <row r="142" spans="1:10" ht="18" x14ac:dyDescent="0.25">
      <c r="A142" s="21">
        <v>137</v>
      </c>
      <c r="B142" s="45" t="s">
        <v>570</v>
      </c>
      <c r="C142" s="72">
        <v>886</v>
      </c>
      <c r="D142" s="591" t="str">
        <f t="shared" si="8"/>
        <v/>
      </c>
      <c r="E142" s="592"/>
      <c r="G142" s="70">
        <f t="shared" si="9"/>
        <v>1</v>
      </c>
      <c r="J142" s="77" t="str">
        <f t="shared" si="6"/>
        <v>Not Done</v>
      </c>
    </row>
    <row r="143" spans="1:10" ht="18" x14ac:dyDescent="0.25">
      <c r="A143" s="21">
        <v>138</v>
      </c>
      <c r="B143" s="45" t="s">
        <v>571</v>
      </c>
      <c r="C143" s="72">
        <v>572</v>
      </c>
      <c r="D143" s="591" t="str">
        <f t="shared" si="8"/>
        <v>ü</v>
      </c>
      <c r="E143" s="592"/>
      <c r="G143" s="70">
        <f t="shared" si="9"/>
        <v>0</v>
      </c>
      <c r="J143" s="77" t="str">
        <f t="shared" si="6"/>
        <v>Done</v>
      </c>
    </row>
    <row r="144" spans="1:10" ht="18" x14ac:dyDescent="0.25">
      <c r="A144" s="21">
        <v>139</v>
      </c>
      <c r="B144" s="45" t="s">
        <v>572</v>
      </c>
      <c r="C144" s="72">
        <v>596</v>
      </c>
      <c r="D144" s="591" t="str">
        <f t="shared" si="8"/>
        <v>ü</v>
      </c>
      <c r="E144" s="592"/>
      <c r="G144" s="70">
        <f t="shared" si="9"/>
        <v>0</v>
      </c>
      <c r="J144" s="77" t="str">
        <f t="shared" si="6"/>
        <v>Done</v>
      </c>
    </row>
    <row r="145" spans="1:10" ht="18" x14ac:dyDescent="0.25">
      <c r="A145" s="21">
        <v>140</v>
      </c>
      <c r="B145" s="45" t="s">
        <v>573</v>
      </c>
      <c r="C145" s="72">
        <v>572</v>
      </c>
      <c r="D145" s="591" t="str">
        <f t="shared" si="8"/>
        <v>ü</v>
      </c>
      <c r="E145" s="592"/>
      <c r="G145" s="70">
        <f t="shared" si="9"/>
        <v>0</v>
      </c>
      <c r="J145" s="77" t="str">
        <f t="shared" si="6"/>
        <v>Done</v>
      </c>
    </row>
    <row r="146" spans="1:10" ht="18" x14ac:dyDescent="0.25">
      <c r="A146" s="21">
        <v>141</v>
      </c>
      <c r="B146" s="45" t="s">
        <v>574</v>
      </c>
      <c r="C146" s="72">
        <v>572</v>
      </c>
      <c r="D146" s="591" t="str">
        <f t="shared" si="8"/>
        <v>ü</v>
      </c>
      <c r="E146" s="592"/>
      <c r="G146" s="70">
        <f t="shared" si="9"/>
        <v>0</v>
      </c>
      <c r="J146" s="77" t="str">
        <f t="shared" si="6"/>
        <v>Done</v>
      </c>
    </row>
    <row r="147" spans="1:10" ht="18" x14ac:dyDescent="0.25">
      <c r="A147" s="21">
        <v>142</v>
      </c>
      <c r="B147" s="45" t="s">
        <v>575</v>
      </c>
      <c r="C147" s="72">
        <v>891</v>
      </c>
      <c r="D147" s="591" t="str">
        <f t="shared" si="8"/>
        <v/>
      </c>
      <c r="E147" s="592"/>
      <c r="G147" s="70">
        <f t="shared" si="9"/>
        <v>1</v>
      </c>
      <c r="J147" s="77" t="str">
        <f t="shared" si="6"/>
        <v>Not Done</v>
      </c>
    </row>
    <row r="148" spans="1:10" ht="18" x14ac:dyDescent="0.25">
      <c r="A148" s="21">
        <v>143</v>
      </c>
      <c r="B148" s="45" t="s">
        <v>576</v>
      </c>
      <c r="C148" s="72">
        <v>522</v>
      </c>
      <c r="D148" s="591" t="str">
        <f t="shared" si="8"/>
        <v>ü</v>
      </c>
      <c r="E148" s="592"/>
      <c r="G148" s="70">
        <f t="shared" si="9"/>
        <v>0</v>
      </c>
      <c r="J148" s="77" t="str">
        <f t="shared" si="6"/>
        <v>Done</v>
      </c>
    </row>
    <row r="149" spans="1:10" ht="18" x14ac:dyDescent="0.25">
      <c r="A149" s="21">
        <v>144</v>
      </c>
      <c r="B149" s="45" t="s">
        <v>577</v>
      </c>
      <c r="C149" s="475">
        <v>555</v>
      </c>
      <c r="D149" s="591" t="str">
        <f t="shared" si="8"/>
        <v>ü</v>
      </c>
      <c r="E149" s="592"/>
      <c r="G149" s="70">
        <f t="shared" si="9"/>
        <v>0</v>
      </c>
      <c r="J149" s="77" t="str">
        <f t="shared" si="6"/>
        <v>Done</v>
      </c>
    </row>
    <row r="150" spans="1:10" ht="18" x14ac:dyDescent="0.25">
      <c r="A150" s="21">
        <v>145</v>
      </c>
      <c r="B150" s="45" t="s">
        <v>580</v>
      </c>
      <c r="C150" s="72">
        <v>894</v>
      </c>
      <c r="D150" s="591" t="str">
        <f t="shared" si="8"/>
        <v/>
      </c>
      <c r="E150" s="592"/>
      <c r="G150" s="70">
        <f t="shared" si="9"/>
        <v>1</v>
      </c>
      <c r="J150" s="77" t="str">
        <f t="shared" si="6"/>
        <v>Not Done</v>
      </c>
    </row>
    <row r="151" spans="1:10" ht="18" x14ac:dyDescent="0.25">
      <c r="A151" s="21">
        <v>146</v>
      </c>
      <c r="B151" s="45" t="s">
        <v>582</v>
      </c>
      <c r="C151" s="72">
        <v>522</v>
      </c>
      <c r="D151" s="591" t="str">
        <f t="shared" si="8"/>
        <v>ü</v>
      </c>
      <c r="E151" s="592"/>
      <c r="G151" s="70">
        <f t="shared" si="9"/>
        <v>0</v>
      </c>
      <c r="J151" s="77" t="str">
        <f t="shared" si="6"/>
        <v>Done</v>
      </c>
    </row>
    <row r="152" spans="1:10" ht="18" x14ac:dyDescent="0.25">
      <c r="A152" s="21">
        <v>147</v>
      </c>
      <c r="B152" s="45" t="s">
        <v>583</v>
      </c>
      <c r="C152" s="475">
        <v>505</v>
      </c>
      <c r="D152" s="591" t="str">
        <f t="shared" si="8"/>
        <v>ü</v>
      </c>
      <c r="E152" s="592"/>
      <c r="G152" s="70">
        <f t="shared" si="9"/>
        <v>0</v>
      </c>
      <c r="J152" s="77" t="str">
        <f t="shared" si="6"/>
        <v>Done</v>
      </c>
    </row>
    <row r="153" spans="1:10" ht="18" x14ac:dyDescent="0.25">
      <c r="A153" s="21">
        <v>148</v>
      </c>
      <c r="B153" s="45" t="s">
        <v>584</v>
      </c>
      <c r="C153" s="72">
        <v>472</v>
      </c>
      <c r="D153" s="591" t="str">
        <f t="shared" si="8"/>
        <v>ü</v>
      </c>
      <c r="E153" s="592"/>
      <c r="G153" s="70">
        <f t="shared" si="9"/>
        <v>0</v>
      </c>
      <c r="J153" s="77" t="str">
        <f t="shared" si="6"/>
        <v>Done</v>
      </c>
    </row>
    <row r="154" spans="1:10" ht="18" x14ac:dyDescent="0.25">
      <c r="A154" s="21">
        <v>149</v>
      </c>
      <c r="B154" s="45" t="s">
        <v>585</v>
      </c>
      <c r="C154" s="72">
        <v>422</v>
      </c>
      <c r="D154" s="591" t="str">
        <f t="shared" si="8"/>
        <v>ü</v>
      </c>
      <c r="E154" s="592"/>
      <c r="G154" s="70">
        <f t="shared" si="9"/>
        <v>0</v>
      </c>
      <c r="J154" s="77" t="str">
        <f t="shared" si="6"/>
        <v>Done</v>
      </c>
    </row>
    <row r="155" spans="1:10" ht="18" x14ac:dyDescent="0.25">
      <c r="A155" s="21">
        <v>150</v>
      </c>
      <c r="B155" s="45" t="s">
        <v>586</v>
      </c>
      <c r="C155" s="72">
        <v>472</v>
      </c>
      <c r="D155" s="591" t="str">
        <f t="shared" si="8"/>
        <v>ü</v>
      </c>
      <c r="E155" s="592"/>
      <c r="G155" s="70">
        <f t="shared" si="9"/>
        <v>0</v>
      </c>
      <c r="J155" s="77" t="str">
        <f t="shared" si="6"/>
        <v>Done</v>
      </c>
    </row>
    <row r="156" spans="1:10" ht="18" x14ac:dyDescent="0.25">
      <c r="A156" s="21">
        <v>151</v>
      </c>
      <c r="B156" s="45" t="s">
        <v>587</v>
      </c>
      <c r="C156" s="72">
        <v>422</v>
      </c>
      <c r="D156" s="591" t="str">
        <f t="shared" si="8"/>
        <v>ü</v>
      </c>
      <c r="E156" s="592"/>
      <c r="G156" s="70">
        <f t="shared" si="9"/>
        <v>0</v>
      </c>
      <c r="J156" s="77" t="str">
        <f t="shared" si="6"/>
        <v>Done</v>
      </c>
    </row>
    <row r="157" spans="1:10" ht="18" x14ac:dyDescent="0.25">
      <c r="A157" s="21">
        <v>152</v>
      </c>
      <c r="B157" s="45" t="s">
        <v>588</v>
      </c>
      <c r="C157" s="72">
        <v>901</v>
      </c>
      <c r="D157" s="591" t="str">
        <f t="shared" si="8"/>
        <v/>
      </c>
      <c r="E157" s="592"/>
      <c r="G157" s="70">
        <f t="shared" si="9"/>
        <v>1</v>
      </c>
      <c r="J157" s="77" t="str">
        <f t="shared" si="6"/>
        <v>Not Done</v>
      </c>
    </row>
    <row r="158" spans="1:10" ht="18" x14ac:dyDescent="0.25">
      <c r="A158" s="21">
        <v>153</v>
      </c>
      <c r="B158" s="45" t="s">
        <v>589</v>
      </c>
      <c r="C158" s="72">
        <v>572</v>
      </c>
      <c r="D158" s="591" t="str">
        <f t="shared" si="8"/>
        <v>ü</v>
      </c>
      <c r="E158" s="592"/>
      <c r="G158" s="70">
        <f t="shared" si="9"/>
        <v>0</v>
      </c>
      <c r="J158" s="77" t="str">
        <f t="shared" si="6"/>
        <v>Done</v>
      </c>
    </row>
    <row r="159" spans="1:10" ht="18" x14ac:dyDescent="0.25">
      <c r="A159" s="21">
        <v>154</v>
      </c>
      <c r="B159" s="45" t="s">
        <v>590</v>
      </c>
      <c r="C159" s="72">
        <v>903</v>
      </c>
      <c r="D159" s="591" t="str">
        <f t="shared" si="8"/>
        <v/>
      </c>
      <c r="E159" s="592"/>
      <c r="G159" s="70">
        <f t="shared" si="9"/>
        <v>1</v>
      </c>
      <c r="J159" s="77" t="str">
        <f t="shared" si="6"/>
        <v>Not Done</v>
      </c>
    </row>
    <row r="160" spans="1:10" ht="18" x14ac:dyDescent="0.25">
      <c r="A160" s="21">
        <v>155</v>
      </c>
      <c r="B160" s="45" t="s">
        <v>591</v>
      </c>
      <c r="C160" s="475">
        <v>210207210</v>
      </c>
      <c r="D160" s="591" t="str">
        <f t="shared" si="8"/>
        <v>ü</v>
      </c>
      <c r="E160" s="592"/>
      <c r="G160" s="70">
        <f t="shared" si="9"/>
        <v>0</v>
      </c>
      <c r="J160" s="77" t="str">
        <f t="shared" si="6"/>
        <v>Done</v>
      </c>
    </row>
    <row r="161" spans="1:10" ht="18" x14ac:dyDescent="0.25">
      <c r="A161" s="21">
        <v>156</v>
      </c>
      <c r="B161" s="45" t="s">
        <v>592</v>
      </c>
      <c r="C161" s="72">
        <v>905</v>
      </c>
      <c r="D161" s="591" t="str">
        <f t="shared" si="8"/>
        <v/>
      </c>
      <c r="E161" s="592"/>
      <c r="G161" s="70">
        <f t="shared" si="9"/>
        <v>1</v>
      </c>
      <c r="J161" s="77" t="str">
        <f t="shared" si="6"/>
        <v>Not Done</v>
      </c>
    </row>
    <row r="162" spans="1:10" ht="18" x14ac:dyDescent="0.25">
      <c r="A162" s="21">
        <v>157</v>
      </c>
      <c r="B162" s="45" t="s">
        <v>593</v>
      </c>
      <c r="C162" s="72">
        <v>906</v>
      </c>
      <c r="D162" s="591" t="str">
        <f t="shared" si="8"/>
        <v/>
      </c>
      <c r="E162" s="592"/>
      <c r="G162" s="70">
        <f t="shared" si="9"/>
        <v>1</v>
      </c>
      <c r="J162" s="77" t="str">
        <f t="shared" si="6"/>
        <v>Not Done</v>
      </c>
    </row>
    <row r="163" spans="1:10" ht="18" x14ac:dyDescent="0.25">
      <c r="A163" s="21">
        <v>158</v>
      </c>
      <c r="B163" s="45" t="s">
        <v>594</v>
      </c>
      <c r="C163" s="72">
        <v>572</v>
      </c>
      <c r="D163" s="591" t="str">
        <f t="shared" si="8"/>
        <v>ü</v>
      </c>
      <c r="E163" s="592"/>
      <c r="G163" s="70">
        <f t="shared" si="9"/>
        <v>0</v>
      </c>
      <c r="J163" s="77" t="str">
        <f t="shared" si="6"/>
        <v>Done</v>
      </c>
    </row>
    <row r="164" spans="1:10" ht="18" x14ac:dyDescent="0.25">
      <c r="A164" s="21">
        <v>159</v>
      </c>
      <c r="B164" s="45" t="s">
        <v>595</v>
      </c>
      <c r="C164" s="72">
        <v>908</v>
      </c>
      <c r="D164" s="591" t="str">
        <f t="shared" si="8"/>
        <v/>
      </c>
      <c r="E164" s="592"/>
      <c r="G164" s="70">
        <f t="shared" si="9"/>
        <v>1</v>
      </c>
      <c r="J164" s="77" t="str">
        <f t="shared" si="6"/>
        <v>Not Done</v>
      </c>
    </row>
    <row r="165" spans="1:10" ht="18" x14ac:dyDescent="0.25">
      <c r="A165" s="21">
        <v>160</v>
      </c>
      <c r="B165" s="45" t="s">
        <v>596</v>
      </c>
      <c r="C165" s="72">
        <v>572</v>
      </c>
      <c r="D165" s="591" t="str">
        <f t="shared" si="8"/>
        <v>ü</v>
      </c>
      <c r="E165" s="592"/>
      <c r="G165" s="70">
        <f t="shared" si="9"/>
        <v>0</v>
      </c>
      <c r="J165" s="77" t="str">
        <f t="shared" si="6"/>
        <v>Done</v>
      </c>
    </row>
    <row r="166" spans="1:10" ht="18" x14ac:dyDescent="0.25">
      <c r="A166" s="21">
        <v>161</v>
      </c>
      <c r="B166" s="45" t="s">
        <v>597</v>
      </c>
      <c r="C166" s="72">
        <v>910</v>
      </c>
      <c r="D166" s="591" t="str">
        <f t="shared" si="8"/>
        <v/>
      </c>
      <c r="E166" s="592"/>
      <c r="G166" s="70">
        <f t="shared" si="9"/>
        <v>1</v>
      </c>
      <c r="J166" s="77" t="str">
        <f t="shared" si="6"/>
        <v>Not Done</v>
      </c>
    </row>
    <row r="167" spans="1:10" ht="18" x14ac:dyDescent="0.25">
      <c r="A167" s="21">
        <v>162</v>
      </c>
      <c r="B167" s="45" t="s">
        <v>598</v>
      </c>
      <c r="C167" s="72">
        <v>572</v>
      </c>
      <c r="D167" s="591" t="str">
        <f t="shared" si="8"/>
        <v>ü</v>
      </c>
      <c r="E167" s="592"/>
      <c r="G167" s="70">
        <f t="shared" si="9"/>
        <v>0</v>
      </c>
      <c r="J167" s="77" t="str">
        <f t="shared" si="6"/>
        <v>Done</v>
      </c>
    </row>
    <row r="168" spans="1:10" ht="18" x14ac:dyDescent="0.25">
      <c r="A168" s="21">
        <v>163</v>
      </c>
      <c r="B168" s="45" t="s">
        <v>599</v>
      </c>
      <c r="C168" s="72">
        <v>572</v>
      </c>
      <c r="D168" s="591" t="str">
        <f t="shared" si="8"/>
        <v>ü</v>
      </c>
      <c r="E168" s="592"/>
      <c r="G168" s="70">
        <f t="shared" si="9"/>
        <v>0</v>
      </c>
      <c r="J168" s="77" t="str">
        <f t="shared" si="6"/>
        <v>Done</v>
      </c>
    </row>
    <row r="169" spans="1:10" ht="18" x14ac:dyDescent="0.25">
      <c r="A169" s="21">
        <v>164</v>
      </c>
      <c r="B169" s="45" t="s">
        <v>600</v>
      </c>
      <c r="C169" s="72">
        <v>913</v>
      </c>
      <c r="D169" s="591" t="str">
        <f t="shared" si="8"/>
        <v/>
      </c>
      <c r="E169" s="592"/>
      <c r="G169" s="70">
        <f t="shared" si="9"/>
        <v>1</v>
      </c>
      <c r="J169" s="77" t="str">
        <f t="shared" si="6"/>
        <v>Not Done</v>
      </c>
    </row>
    <row r="170" spans="1:10" ht="18" x14ac:dyDescent="0.25">
      <c r="A170" s="21">
        <v>165</v>
      </c>
      <c r="B170" s="45" t="s">
        <v>601</v>
      </c>
      <c r="C170" s="72">
        <v>914</v>
      </c>
      <c r="D170" s="591" t="str">
        <f t="shared" si="8"/>
        <v/>
      </c>
      <c r="E170" s="592"/>
      <c r="G170" s="70">
        <f t="shared" si="9"/>
        <v>1</v>
      </c>
      <c r="J170" s="77" t="str">
        <f t="shared" si="6"/>
        <v>Not Done</v>
      </c>
    </row>
    <row r="171" spans="1:10" ht="18" x14ac:dyDescent="0.25">
      <c r="A171" s="21">
        <v>166</v>
      </c>
      <c r="B171" s="45" t="s">
        <v>602</v>
      </c>
      <c r="C171" s="72">
        <v>915</v>
      </c>
      <c r="D171" s="591" t="str">
        <f t="shared" si="8"/>
        <v/>
      </c>
      <c r="E171" s="592"/>
      <c r="G171" s="70">
        <f t="shared" si="9"/>
        <v>1</v>
      </c>
      <c r="J171" s="77" t="str">
        <f t="shared" si="6"/>
        <v>Not Done</v>
      </c>
    </row>
    <row r="172" spans="1:10" ht="18" x14ac:dyDescent="0.25">
      <c r="A172" s="21">
        <v>167</v>
      </c>
      <c r="B172" s="45" t="s">
        <v>603</v>
      </c>
      <c r="C172" s="72">
        <v>916</v>
      </c>
      <c r="D172" s="591" t="str">
        <f t="shared" si="8"/>
        <v/>
      </c>
      <c r="E172" s="592"/>
      <c r="G172" s="70">
        <f t="shared" si="9"/>
        <v>1</v>
      </c>
      <c r="J172" s="77" t="str">
        <f t="shared" si="6"/>
        <v>Not Done</v>
      </c>
    </row>
    <row r="173" spans="1:10" ht="18" x14ac:dyDescent="0.25">
      <c r="A173" s="21">
        <v>168</v>
      </c>
      <c r="B173" s="45" t="s">
        <v>604</v>
      </c>
      <c r="C173" s="72">
        <v>917</v>
      </c>
      <c r="D173" s="591" t="str">
        <f t="shared" si="8"/>
        <v/>
      </c>
      <c r="E173" s="592"/>
      <c r="G173" s="70">
        <f t="shared" si="9"/>
        <v>1</v>
      </c>
      <c r="J173" s="77" t="str">
        <f t="shared" si="6"/>
        <v>Not Done</v>
      </c>
    </row>
    <row r="174" spans="1:10" ht="18" x14ac:dyDescent="0.25">
      <c r="A174" s="21">
        <v>169</v>
      </c>
      <c r="B174" s="45" t="s">
        <v>605</v>
      </c>
      <c r="C174" s="72">
        <v>341</v>
      </c>
      <c r="D174" s="591" t="str">
        <f t="shared" si="8"/>
        <v>ü</v>
      </c>
      <c r="E174" s="592"/>
      <c r="G174" s="70">
        <f t="shared" si="9"/>
        <v>0</v>
      </c>
      <c r="J174" s="77" t="str">
        <f t="shared" si="6"/>
        <v>Done</v>
      </c>
    </row>
    <row r="175" spans="1:10" ht="18" x14ac:dyDescent="0.25">
      <c r="A175" s="21">
        <v>170</v>
      </c>
      <c r="B175" s="45" t="s">
        <v>606</v>
      </c>
      <c r="C175" s="72">
        <v>919</v>
      </c>
      <c r="D175" s="591" t="str">
        <f t="shared" si="8"/>
        <v/>
      </c>
      <c r="E175" s="592"/>
      <c r="G175" s="70">
        <f t="shared" si="9"/>
        <v>1</v>
      </c>
      <c r="J175" s="77" t="str">
        <f t="shared" si="6"/>
        <v>Not Done</v>
      </c>
    </row>
    <row r="176" spans="1:10" ht="18" x14ac:dyDescent="0.25">
      <c r="A176" s="21">
        <v>171</v>
      </c>
      <c r="B176" s="45" t="s">
        <v>607</v>
      </c>
      <c r="C176" s="72">
        <v>405</v>
      </c>
      <c r="D176" s="591" t="str">
        <f t="shared" si="8"/>
        <v>ü</v>
      </c>
      <c r="E176" s="592"/>
      <c r="G176" s="70">
        <f t="shared" si="9"/>
        <v>0</v>
      </c>
      <c r="J176" s="77" t="str">
        <f>IF(D176="","Not Done","Done")</f>
        <v>Done</v>
      </c>
    </row>
    <row r="177" spans="1:10" ht="18" x14ac:dyDescent="0.25">
      <c r="A177" s="21">
        <v>172</v>
      </c>
      <c r="B177" s="45" t="s">
        <v>608</v>
      </c>
      <c r="C177" s="72">
        <v>405</v>
      </c>
      <c r="D177" s="591" t="str">
        <f t="shared" ref="D177:D197" si="10">IF(LEN(C177)&gt;3,"ü",IF(C177="","",IF(C177&gt;=0,IF(C177&lt;=597,"ü",""),"")))</f>
        <v>ü</v>
      </c>
      <c r="E177" s="592"/>
      <c r="G177" s="70">
        <f t="shared" si="9"/>
        <v>0</v>
      </c>
      <c r="J177" s="77" t="str">
        <f>IF(D177="","Not Done","Done")</f>
        <v>Done</v>
      </c>
    </row>
    <row r="178" spans="1:10" ht="18" x14ac:dyDescent="0.25">
      <c r="A178" s="21">
        <v>173</v>
      </c>
      <c r="B178" s="45" t="s">
        <v>609</v>
      </c>
      <c r="C178" s="72">
        <v>572</v>
      </c>
      <c r="D178" s="591" t="str">
        <f t="shared" si="10"/>
        <v>ü</v>
      </c>
      <c r="E178" s="592"/>
      <c r="G178" s="70">
        <f t="shared" si="9"/>
        <v>0</v>
      </c>
      <c r="J178" s="77" t="str">
        <f>IF(D178="","Not Done","Done")</f>
        <v>Done</v>
      </c>
    </row>
    <row r="179" spans="1:10" ht="18" x14ac:dyDescent="0.25">
      <c r="A179" s="21">
        <v>174</v>
      </c>
      <c r="B179" s="45" t="s">
        <v>610</v>
      </c>
      <c r="C179" s="72">
        <v>355</v>
      </c>
      <c r="D179" s="591" t="str">
        <f t="shared" si="10"/>
        <v>ü</v>
      </c>
      <c r="E179" s="592"/>
      <c r="G179" s="70">
        <f t="shared" si="9"/>
        <v>0</v>
      </c>
      <c r="J179" s="77" t="str">
        <f t="shared" si="6"/>
        <v>Done</v>
      </c>
    </row>
    <row r="180" spans="1:10" ht="18" x14ac:dyDescent="0.25">
      <c r="A180" s="21">
        <v>175</v>
      </c>
      <c r="B180" s="45" t="s">
        <v>611</v>
      </c>
      <c r="C180" s="72">
        <v>405</v>
      </c>
      <c r="D180" s="591" t="str">
        <f t="shared" si="10"/>
        <v>ü</v>
      </c>
      <c r="E180" s="592"/>
      <c r="G180" s="70">
        <f t="shared" si="9"/>
        <v>0</v>
      </c>
      <c r="J180" s="77" t="str">
        <f t="shared" si="6"/>
        <v>Done</v>
      </c>
    </row>
    <row r="181" spans="1:10" ht="18" x14ac:dyDescent="0.25">
      <c r="A181" s="21">
        <v>176</v>
      </c>
      <c r="B181" s="45" t="s">
        <v>612</v>
      </c>
      <c r="C181" s="72">
        <v>405</v>
      </c>
      <c r="D181" s="591" t="str">
        <f t="shared" si="10"/>
        <v>ü</v>
      </c>
      <c r="E181" s="592"/>
      <c r="G181" s="70">
        <f t="shared" si="9"/>
        <v>0</v>
      </c>
      <c r="J181" s="77" t="str">
        <f t="shared" si="6"/>
        <v>Done</v>
      </c>
    </row>
    <row r="182" spans="1:10" ht="18" x14ac:dyDescent="0.25">
      <c r="A182" s="21">
        <v>177</v>
      </c>
      <c r="B182" s="45" t="s">
        <v>613</v>
      </c>
      <c r="C182" s="72">
        <v>926</v>
      </c>
      <c r="D182" s="591" t="str">
        <f t="shared" si="10"/>
        <v/>
      </c>
      <c r="E182" s="592"/>
      <c r="G182" s="70">
        <f t="shared" si="9"/>
        <v>1</v>
      </c>
      <c r="J182" s="77" t="str">
        <f t="shared" si="6"/>
        <v>Not Done</v>
      </c>
    </row>
    <row r="183" spans="1:10" ht="18" x14ac:dyDescent="0.25">
      <c r="A183" s="21">
        <v>178</v>
      </c>
      <c r="B183" s="45" t="s">
        <v>616</v>
      </c>
      <c r="C183" s="72">
        <v>927</v>
      </c>
      <c r="D183" s="591" t="str">
        <f t="shared" si="10"/>
        <v/>
      </c>
      <c r="E183" s="592"/>
      <c r="G183" s="70">
        <f t="shared" si="9"/>
        <v>1</v>
      </c>
      <c r="J183" s="77" t="str">
        <f t="shared" si="6"/>
        <v>Not Done</v>
      </c>
    </row>
    <row r="184" spans="1:10" ht="18" x14ac:dyDescent="0.25">
      <c r="A184" s="21">
        <v>179</v>
      </c>
      <c r="B184" s="45" t="s">
        <v>617</v>
      </c>
      <c r="C184" s="512" t="s">
        <v>686</v>
      </c>
      <c r="D184" s="591" t="str">
        <f t="shared" si="10"/>
        <v>ü</v>
      </c>
      <c r="E184" s="592"/>
      <c r="G184" s="70">
        <f t="shared" si="9"/>
        <v>0</v>
      </c>
      <c r="J184" s="77" t="str">
        <f t="shared" si="6"/>
        <v>Done</v>
      </c>
    </row>
    <row r="185" spans="1:10" ht="18" x14ac:dyDescent="0.25">
      <c r="A185" s="21">
        <v>180</v>
      </c>
      <c r="B185" s="45" t="s">
        <v>620</v>
      </c>
      <c r="C185" s="72">
        <v>929</v>
      </c>
      <c r="D185" s="591" t="str">
        <f t="shared" si="10"/>
        <v/>
      </c>
      <c r="E185" s="592"/>
      <c r="G185" s="70">
        <f t="shared" si="9"/>
        <v>1</v>
      </c>
      <c r="J185" s="77" t="str">
        <f t="shared" si="6"/>
        <v>Not Done</v>
      </c>
    </row>
    <row r="186" spans="1:10" ht="18" x14ac:dyDescent="0.25">
      <c r="A186" s="21">
        <v>181</v>
      </c>
      <c r="B186" s="45" t="s">
        <v>621</v>
      </c>
      <c r="C186" s="72">
        <v>491</v>
      </c>
      <c r="D186" s="591" t="str">
        <f t="shared" si="10"/>
        <v>ü</v>
      </c>
      <c r="E186" s="592"/>
      <c r="G186" s="70">
        <f t="shared" si="9"/>
        <v>0</v>
      </c>
      <c r="J186" s="77" t="str">
        <f t="shared" ref="J186:J197" si="11">IF(D186="","Not Done","Done")</f>
        <v>Done</v>
      </c>
    </row>
    <row r="187" spans="1:10" ht="18" x14ac:dyDescent="0.25">
      <c r="A187" s="21">
        <v>182</v>
      </c>
      <c r="B187" s="45" t="s">
        <v>622</v>
      </c>
      <c r="C187" s="72">
        <v>467</v>
      </c>
      <c r="D187" s="591" t="str">
        <f t="shared" si="10"/>
        <v>ü</v>
      </c>
      <c r="E187" s="592"/>
      <c r="G187" s="70">
        <f t="shared" si="9"/>
        <v>0</v>
      </c>
      <c r="J187" s="77" t="str">
        <f t="shared" si="11"/>
        <v>Done</v>
      </c>
    </row>
    <row r="188" spans="1:10" ht="18" x14ac:dyDescent="0.25">
      <c r="A188" s="21">
        <v>183</v>
      </c>
      <c r="B188" s="45" t="s">
        <v>623</v>
      </c>
      <c r="C188" s="72">
        <v>491</v>
      </c>
      <c r="D188" s="591" t="str">
        <f t="shared" si="10"/>
        <v>ü</v>
      </c>
      <c r="E188" s="592"/>
      <c r="G188" s="70">
        <f t="shared" si="9"/>
        <v>0</v>
      </c>
      <c r="J188" s="77" t="str">
        <f t="shared" si="11"/>
        <v>Done</v>
      </c>
    </row>
    <row r="189" spans="1:10" ht="18" x14ac:dyDescent="0.25">
      <c r="A189" s="21">
        <v>184</v>
      </c>
      <c r="B189" s="45" t="s">
        <v>624</v>
      </c>
      <c r="C189" s="72">
        <v>591</v>
      </c>
      <c r="D189" s="591" t="str">
        <f t="shared" si="10"/>
        <v>ü</v>
      </c>
      <c r="E189" s="592"/>
      <c r="G189" s="70">
        <f t="shared" si="9"/>
        <v>0</v>
      </c>
      <c r="J189" s="77" t="str">
        <f t="shared" si="11"/>
        <v>Done</v>
      </c>
    </row>
    <row r="190" spans="1:10" ht="18" x14ac:dyDescent="0.25">
      <c r="A190" s="21">
        <v>185</v>
      </c>
      <c r="B190" s="45" t="s">
        <v>627</v>
      </c>
      <c r="C190" s="72">
        <v>491</v>
      </c>
      <c r="D190" s="591" t="str">
        <f t="shared" si="10"/>
        <v>ü</v>
      </c>
      <c r="E190" s="592"/>
      <c r="G190" s="70">
        <f t="shared" si="9"/>
        <v>0</v>
      </c>
      <c r="J190" s="77" t="str">
        <f t="shared" si="11"/>
        <v>Done</v>
      </c>
    </row>
    <row r="191" spans="1:10" ht="18" x14ac:dyDescent="0.25">
      <c r="A191" s="21">
        <v>186</v>
      </c>
      <c r="B191" s="45" t="s">
        <v>628</v>
      </c>
      <c r="C191" s="72">
        <v>505</v>
      </c>
      <c r="D191" s="591" t="str">
        <f t="shared" si="10"/>
        <v>ü</v>
      </c>
      <c r="E191" s="592"/>
      <c r="G191" s="70">
        <f t="shared" si="9"/>
        <v>0</v>
      </c>
      <c r="J191" s="77" t="str">
        <f t="shared" si="11"/>
        <v>Done</v>
      </c>
    </row>
    <row r="192" spans="1:10" ht="18" x14ac:dyDescent="0.25">
      <c r="A192" s="21">
        <v>187</v>
      </c>
      <c r="B192" s="45" t="s">
        <v>629</v>
      </c>
      <c r="C192" s="72">
        <v>491</v>
      </c>
      <c r="D192" s="591" t="str">
        <f t="shared" si="10"/>
        <v>ü</v>
      </c>
      <c r="E192" s="592"/>
      <c r="G192" s="70">
        <f t="shared" si="9"/>
        <v>0</v>
      </c>
      <c r="J192" s="77" t="str">
        <f t="shared" si="11"/>
        <v>Done</v>
      </c>
    </row>
    <row r="193" spans="1:10" ht="18" x14ac:dyDescent="0.25">
      <c r="A193" s="21">
        <v>188</v>
      </c>
      <c r="B193" s="45" t="s">
        <v>630</v>
      </c>
      <c r="C193" s="72">
        <v>467</v>
      </c>
      <c r="D193" s="591" t="str">
        <f t="shared" si="10"/>
        <v>ü</v>
      </c>
      <c r="E193" s="592"/>
      <c r="G193" s="70">
        <f t="shared" si="9"/>
        <v>0</v>
      </c>
      <c r="J193" s="77" t="str">
        <f t="shared" si="11"/>
        <v>Done</v>
      </c>
    </row>
    <row r="194" spans="1:10" ht="18" x14ac:dyDescent="0.25">
      <c r="A194" s="21">
        <v>189</v>
      </c>
      <c r="B194" s="45" t="s">
        <v>631</v>
      </c>
      <c r="C194" s="72">
        <v>591</v>
      </c>
      <c r="D194" s="591" t="str">
        <f t="shared" si="10"/>
        <v>ü</v>
      </c>
      <c r="E194" s="592"/>
      <c r="G194" s="70">
        <f t="shared" si="9"/>
        <v>0</v>
      </c>
      <c r="J194" s="77" t="str">
        <f t="shared" si="11"/>
        <v>Done</v>
      </c>
    </row>
    <row r="195" spans="1:10" ht="18" x14ac:dyDescent="0.25">
      <c r="A195" s="21">
        <v>190</v>
      </c>
      <c r="B195" s="45" t="s">
        <v>633</v>
      </c>
      <c r="C195" s="72">
        <v>491</v>
      </c>
      <c r="D195" s="591" t="str">
        <f t="shared" si="10"/>
        <v>ü</v>
      </c>
      <c r="E195" s="592"/>
      <c r="G195" s="70">
        <f t="shared" si="9"/>
        <v>0</v>
      </c>
      <c r="J195" s="77" t="str">
        <f t="shared" si="11"/>
        <v>Done</v>
      </c>
    </row>
    <row r="196" spans="1:10" ht="18" x14ac:dyDescent="0.25">
      <c r="A196" s="21">
        <v>191</v>
      </c>
      <c r="B196" s="45" t="s">
        <v>634</v>
      </c>
      <c r="C196" s="72">
        <v>940</v>
      </c>
      <c r="D196" s="591" t="str">
        <f t="shared" si="10"/>
        <v/>
      </c>
      <c r="E196" s="592"/>
      <c r="G196" s="70">
        <f t="shared" si="9"/>
        <v>1</v>
      </c>
      <c r="J196" s="77" t="str">
        <f t="shared" si="11"/>
        <v>Not Done</v>
      </c>
    </row>
    <row r="197" spans="1:10" ht="18" x14ac:dyDescent="0.25">
      <c r="A197" s="21">
        <v>192</v>
      </c>
      <c r="B197" s="45" t="s">
        <v>635</v>
      </c>
      <c r="C197" s="72">
        <v>941</v>
      </c>
      <c r="D197" s="591" t="str">
        <f t="shared" si="10"/>
        <v/>
      </c>
      <c r="E197" s="592"/>
      <c r="G197" s="70">
        <f t="shared" si="9"/>
        <v>1</v>
      </c>
      <c r="J197" s="77" t="str">
        <f t="shared" si="11"/>
        <v>Not Done</v>
      </c>
    </row>
    <row r="198" spans="1:10" ht="15.75" thickBot="1" x14ac:dyDescent="0.25">
      <c r="A198" s="21"/>
      <c r="B198" s="73"/>
      <c r="C198" s="79"/>
      <c r="D198" s="600"/>
      <c r="E198" s="601"/>
    </row>
    <row r="200" spans="1:10" x14ac:dyDescent="0.2">
      <c r="B200" s="14">
        <f>COUNTA(B5:B197)</f>
        <v>193</v>
      </c>
      <c r="E200" s="80">
        <f>COUNTIF(D5:E198,"ü")/B200</f>
        <v>0.67875647668393779</v>
      </c>
      <c r="G200" s="14">
        <f>SUM(G5:G198)</f>
        <v>62</v>
      </c>
      <c r="H200" s="14">
        <f>SUM(H5:H198)</f>
        <v>0</v>
      </c>
      <c r="J200" s="80">
        <f>COUNTIF(J5:J198,"Done")/B200</f>
        <v>0.67357512953367871</v>
      </c>
    </row>
  </sheetData>
  <mergeCells count="198">
    <mergeCell ref="D196:E196"/>
    <mergeCell ref="D197:E197"/>
    <mergeCell ref="D198:E198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78:E178"/>
    <mergeCell ref="D179:E179"/>
    <mergeCell ref="D180:E180"/>
    <mergeCell ref="D181:E181"/>
    <mergeCell ref="D182:E182"/>
    <mergeCell ref="D183:E183"/>
    <mergeCell ref="D184:E184"/>
    <mergeCell ref="D185:E185"/>
    <mergeCell ref="D186:E186"/>
    <mergeCell ref="B2:B3"/>
    <mergeCell ref="C2:C3"/>
    <mergeCell ref="D2:E3"/>
    <mergeCell ref="D4:E4"/>
    <mergeCell ref="D177:E177"/>
    <mergeCell ref="D5:E5"/>
    <mergeCell ref="D6:E6"/>
    <mergeCell ref="D7:E7"/>
    <mergeCell ref="D8:E8"/>
    <mergeCell ref="D9:E9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64:E64"/>
    <mergeCell ref="D65:E65"/>
    <mergeCell ref="D66:E66"/>
    <mergeCell ref="D67:E67"/>
    <mergeCell ref="D68:E68"/>
    <mergeCell ref="D69:E69"/>
    <mergeCell ref="D58:E58"/>
    <mergeCell ref="D59:E59"/>
    <mergeCell ref="D60:E60"/>
    <mergeCell ref="D61:E61"/>
    <mergeCell ref="D62:E62"/>
    <mergeCell ref="D63:E63"/>
    <mergeCell ref="D76:E76"/>
    <mergeCell ref="D77:E77"/>
    <mergeCell ref="D78:E78"/>
    <mergeCell ref="D79:E79"/>
    <mergeCell ref="D80:E80"/>
    <mergeCell ref="D81:E81"/>
    <mergeCell ref="D70:E70"/>
    <mergeCell ref="D71:E71"/>
    <mergeCell ref="D72:E72"/>
    <mergeCell ref="D73:E73"/>
    <mergeCell ref="D74:E74"/>
    <mergeCell ref="D75:E75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100:E100"/>
    <mergeCell ref="D101:E101"/>
    <mergeCell ref="D102:E102"/>
    <mergeCell ref="D103:E103"/>
    <mergeCell ref="D104:E104"/>
    <mergeCell ref="D105:E105"/>
    <mergeCell ref="D94:E94"/>
    <mergeCell ref="D95:E95"/>
    <mergeCell ref="D96:E96"/>
    <mergeCell ref="D97:E97"/>
    <mergeCell ref="D98:E98"/>
    <mergeCell ref="D99:E99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D108:E108"/>
    <mergeCell ref="D109:E109"/>
    <mergeCell ref="D110:E110"/>
    <mergeCell ref="D111:E111"/>
    <mergeCell ref="D124:E124"/>
    <mergeCell ref="D125:E125"/>
    <mergeCell ref="D126:E126"/>
    <mergeCell ref="D128:E128"/>
    <mergeCell ref="D129:E129"/>
    <mergeCell ref="D130:E130"/>
    <mergeCell ref="D118:E118"/>
    <mergeCell ref="D119:E119"/>
    <mergeCell ref="D120:E120"/>
    <mergeCell ref="D121:E121"/>
    <mergeCell ref="D122:E122"/>
    <mergeCell ref="D123:E123"/>
    <mergeCell ref="D127:E127"/>
    <mergeCell ref="D137:E137"/>
    <mergeCell ref="D138:E138"/>
    <mergeCell ref="D139:E139"/>
    <mergeCell ref="D140:E140"/>
    <mergeCell ref="D141:E141"/>
    <mergeCell ref="D142:E142"/>
    <mergeCell ref="D131:E131"/>
    <mergeCell ref="D132:E132"/>
    <mergeCell ref="D133:E133"/>
    <mergeCell ref="D134:E134"/>
    <mergeCell ref="D135:E135"/>
    <mergeCell ref="D136:E136"/>
    <mergeCell ref="D149:E149"/>
    <mergeCell ref="D150:E150"/>
    <mergeCell ref="D151:E151"/>
    <mergeCell ref="D152:E152"/>
    <mergeCell ref="D153:E153"/>
    <mergeCell ref="D154:E154"/>
    <mergeCell ref="D143:E143"/>
    <mergeCell ref="D144:E144"/>
    <mergeCell ref="D145:E145"/>
    <mergeCell ref="D146:E146"/>
    <mergeCell ref="D147:E147"/>
    <mergeCell ref="D148:E148"/>
    <mergeCell ref="D161:E161"/>
    <mergeCell ref="D162:E162"/>
    <mergeCell ref="D163:E163"/>
    <mergeCell ref="D164:E164"/>
    <mergeCell ref="D165:E165"/>
    <mergeCell ref="D166:E166"/>
    <mergeCell ref="D155:E155"/>
    <mergeCell ref="D156:E156"/>
    <mergeCell ref="D157:E157"/>
    <mergeCell ref="D158:E158"/>
    <mergeCell ref="D159:E159"/>
    <mergeCell ref="D160:E160"/>
    <mergeCell ref="D173:E173"/>
    <mergeCell ref="D174:E174"/>
    <mergeCell ref="D175:E175"/>
    <mergeCell ref="D176:E176"/>
    <mergeCell ref="D167:E167"/>
    <mergeCell ref="D168:E168"/>
    <mergeCell ref="D169:E169"/>
    <mergeCell ref="D170:E170"/>
    <mergeCell ref="D171:E171"/>
    <mergeCell ref="D172:E172"/>
  </mergeCells>
  <conditionalFormatting sqref="J5:J197">
    <cfRule type="cellIs" dxfId="211" priority="16" stopIfTrue="1" operator="equal">
      <formula>"Not Done"</formula>
    </cfRule>
    <cfRule type="cellIs" dxfId="210" priority="17" stopIfTrue="1" operator="equal">
      <formula>"Done"</formula>
    </cfRule>
  </conditionalFormatting>
  <conditionalFormatting sqref="C10">
    <cfRule type="expression" dxfId="209" priority="11">
      <formula>$O10=1</formula>
    </cfRule>
  </conditionalFormatting>
  <conditionalFormatting sqref="C10">
    <cfRule type="cellIs" dxfId="208" priority="10" operator="equal">
      <formula>1</formula>
    </cfRule>
  </conditionalFormatting>
  <conditionalFormatting sqref="C84">
    <cfRule type="expression" dxfId="207" priority="9">
      <formula>$O84=1</formula>
    </cfRule>
  </conditionalFormatting>
  <conditionalFormatting sqref="C84">
    <cfRule type="cellIs" dxfId="206" priority="8" operator="equal">
      <formula>1</formula>
    </cfRule>
  </conditionalFormatting>
  <conditionalFormatting sqref="C112">
    <cfRule type="expression" dxfId="205" priority="7">
      <formula>$O112=1</formula>
    </cfRule>
  </conditionalFormatting>
  <conditionalFormatting sqref="C112">
    <cfRule type="cellIs" dxfId="204" priority="6" operator="equal">
      <formula>1</formula>
    </cfRule>
  </conditionalFormatting>
  <conditionalFormatting sqref="C115">
    <cfRule type="expression" dxfId="203" priority="5">
      <formula>$O115=1</formula>
    </cfRule>
  </conditionalFormatting>
  <conditionalFormatting sqref="C115">
    <cfRule type="cellIs" dxfId="202" priority="4" operator="equal">
      <formula>1</formula>
    </cfRule>
  </conditionalFormatting>
  <conditionalFormatting sqref="C184">
    <cfRule type="expression" dxfId="201" priority="3">
      <formula>$O184=1</formula>
    </cfRule>
  </conditionalFormatting>
  <conditionalFormatting sqref="C184">
    <cfRule type="cellIs" dxfId="200" priority="2" operator="equal">
      <formula>1</formula>
    </cfRule>
  </conditionalFormatting>
  <conditionalFormatting sqref="B127">
    <cfRule type="expression" dxfId="199" priority="1">
      <formula>$O127=1</formula>
    </cfRule>
  </conditionalFormatting>
  <printOptions gridLines="1" gridLinesSet="0"/>
  <pageMargins left="0.75" right="0.75" top="1" bottom="1" header="0.51181102300000003" footer="0.51181102300000003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8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8" width="7.625" style="568" bestFit="1" customWidth="1"/>
    <col min="9" max="9" width="5" style="568" bestFit="1" customWidth="1"/>
    <col min="10" max="10" width="8.375" style="568" bestFit="1" customWidth="1"/>
    <col min="11" max="11" width="18.75" style="568" bestFit="1" customWidth="1"/>
    <col min="12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4" width="7.625" style="568" bestFit="1" customWidth="1"/>
    <col min="265" max="265" width="5" style="568" bestFit="1" customWidth="1"/>
    <col min="266" max="266" width="8.375" style="568" bestFit="1" customWidth="1"/>
    <col min="267" max="267" width="18.75" style="568" bestFit="1" customWidth="1"/>
    <col min="268" max="269" width="8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20" width="7.625" style="568" bestFit="1" customWidth="1"/>
    <col min="521" max="521" width="5" style="568" bestFit="1" customWidth="1"/>
    <col min="522" max="522" width="8.375" style="568" bestFit="1" customWidth="1"/>
    <col min="523" max="523" width="18.75" style="568" bestFit="1" customWidth="1"/>
    <col min="524" max="525" width="8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6" width="7.625" style="568" bestFit="1" customWidth="1"/>
    <col min="777" max="777" width="5" style="568" bestFit="1" customWidth="1"/>
    <col min="778" max="778" width="8.375" style="568" bestFit="1" customWidth="1"/>
    <col min="779" max="779" width="18.75" style="568" bestFit="1" customWidth="1"/>
    <col min="780" max="781" width="8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2" width="7.625" style="568" bestFit="1" customWidth="1"/>
    <col min="1033" max="1033" width="5" style="568" bestFit="1" customWidth="1"/>
    <col min="1034" max="1034" width="8.375" style="568" bestFit="1" customWidth="1"/>
    <col min="1035" max="1035" width="18.75" style="568" bestFit="1" customWidth="1"/>
    <col min="1036" max="1037" width="8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8" width="7.625" style="568" bestFit="1" customWidth="1"/>
    <col min="1289" max="1289" width="5" style="568" bestFit="1" customWidth="1"/>
    <col min="1290" max="1290" width="8.375" style="568" bestFit="1" customWidth="1"/>
    <col min="1291" max="1291" width="18.75" style="568" bestFit="1" customWidth="1"/>
    <col min="1292" max="1293" width="8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4" width="7.625" style="568" bestFit="1" customWidth="1"/>
    <col min="1545" max="1545" width="5" style="568" bestFit="1" customWidth="1"/>
    <col min="1546" max="1546" width="8.375" style="568" bestFit="1" customWidth="1"/>
    <col min="1547" max="1547" width="18.75" style="568" bestFit="1" customWidth="1"/>
    <col min="1548" max="1549" width="8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800" width="7.625" style="568" bestFit="1" customWidth="1"/>
    <col min="1801" max="1801" width="5" style="568" bestFit="1" customWidth="1"/>
    <col min="1802" max="1802" width="8.375" style="568" bestFit="1" customWidth="1"/>
    <col min="1803" max="1803" width="18.75" style="568" bestFit="1" customWidth="1"/>
    <col min="1804" max="1805" width="8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6" width="7.625" style="568" bestFit="1" customWidth="1"/>
    <col min="2057" max="2057" width="5" style="568" bestFit="1" customWidth="1"/>
    <col min="2058" max="2058" width="8.375" style="568" bestFit="1" customWidth="1"/>
    <col min="2059" max="2059" width="18.75" style="568" bestFit="1" customWidth="1"/>
    <col min="2060" max="2061" width="8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2" width="7.625" style="568" bestFit="1" customWidth="1"/>
    <col min="2313" max="2313" width="5" style="568" bestFit="1" customWidth="1"/>
    <col min="2314" max="2314" width="8.375" style="568" bestFit="1" customWidth="1"/>
    <col min="2315" max="2315" width="18.75" style="568" bestFit="1" customWidth="1"/>
    <col min="2316" max="2317" width="8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8" width="7.625" style="568" bestFit="1" customWidth="1"/>
    <col min="2569" max="2569" width="5" style="568" bestFit="1" customWidth="1"/>
    <col min="2570" max="2570" width="8.375" style="568" bestFit="1" customWidth="1"/>
    <col min="2571" max="2571" width="18.75" style="568" bestFit="1" customWidth="1"/>
    <col min="2572" max="2573" width="8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4" width="7.625" style="568" bestFit="1" customWidth="1"/>
    <col min="2825" max="2825" width="5" style="568" bestFit="1" customWidth="1"/>
    <col min="2826" max="2826" width="8.375" style="568" bestFit="1" customWidth="1"/>
    <col min="2827" max="2827" width="18.75" style="568" bestFit="1" customWidth="1"/>
    <col min="2828" max="2829" width="8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80" width="7.625" style="568" bestFit="1" customWidth="1"/>
    <col min="3081" max="3081" width="5" style="568" bestFit="1" customWidth="1"/>
    <col min="3082" max="3082" width="8.375" style="568" bestFit="1" customWidth="1"/>
    <col min="3083" max="3083" width="18.75" style="568" bestFit="1" customWidth="1"/>
    <col min="3084" max="3085" width="8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6" width="7.625" style="568" bestFit="1" customWidth="1"/>
    <col min="3337" max="3337" width="5" style="568" bestFit="1" customWidth="1"/>
    <col min="3338" max="3338" width="8.375" style="568" bestFit="1" customWidth="1"/>
    <col min="3339" max="3339" width="18.75" style="568" bestFit="1" customWidth="1"/>
    <col min="3340" max="3341" width="8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2" width="7.625" style="568" bestFit="1" customWidth="1"/>
    <col min="3593" max="3593" width="5" style="568" bestFit="1" customWidth="1"/>
    <col min="3594" max="3594" width="8.375" style="568" bestFit="1" customWidth="1"/>
    <col min="3595" max="3595" width="18.75" style="568" bestFit="1" customWidth="1"/>
    <col min="3596" max="3597" width="8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8" width="7.625" style="568" bestFit="1" customWidth="1"/>
    <col min="3849" max="3849" width="5" style="568" bestFit="1" customWidth="1"/>
    <col min="3850" max="3850" width="8.375" style="568" bestFit="1" customWidth="1"/>
    <col min="3851" max="3851" width="18.75" style="568" bestFit="1" customWidth="1"/>
    <col min="3852" max="3853" width="8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4" width="7.625" style="568" bestFit="1" customWidth="1"/>
    <col min="4105" max="4105" width="5" style="568" bestFit="1" customWidth="1"/>
    <col min="4106" max="4106" width="8.375" style="568" bestFit="1" customWidth="1"/>
    <col min="4107" max="4107" width="18.75" style="568" bestFit="1" customWidth="1"/>
    <col min="4108" max="4109" width="8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60" width="7.625" style="568" bestFit="1" customWidth="1"/>
    <col min="4361" max="4361" width="5" style="568" bestFit="1" customWidth="1"/>
    <col min="4362" max="4362" width="8.375" style="568" bestFit="1" customWidth="1"/>
    <col min="4363" max="4363" width="18.75" style="568" bestFit="1" customWidth="1"/>
    <col min="4364" max="4365" width="8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6" width="7.625" style="568" bestFit="1" customWidth="1"/>
    <col min="4617" max="4617" width="5" style="568" bestFit="1" customWidth="1"/>
    <col min="4618" max="4618" width="8.375" style="568" bestFit="1" customWidth="1"/>
    <col min="4619" max="4619" width="18.75" style="568" bestFit="1" customWidth="1"/>
    <col min="4620" max="4621" width="8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2" width="7.625" style="568" bestFit="1" customWidth="1"/>
    <col min="4873" max="4873" width="5" style="568" bestFit="1" customWidth="1"/>
    <col min="4874" max="4874" width="8.375" style="568" bestFit="1" customWidth="1"/>
    <col min="4875" max="4875" width="18.75" style="568" bestFit="1" customWidth="1"/>
    <col min="4876" max="4877" width="8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8" width="7.625" style="568" bestFit="1" customWidth="1"/>
    <col min="5129" max="5129" width="5" style="568" bestFit="1" customWidth="1"/>
    <col min="5130" max="5130" width="8.375" style="568" bestFit="1" customWidth="1"/>
    <col min="5131" max="5131" width="18.75" style="568" bestFit="1" customWidth="1"/>
    <col min="5132" max="5133" width="8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4" width="7.625" style="568" bestFit="1" customWidth="1"/>
    <col min="5385" max="5385" width="5" style="568" bestFit="1" customWidth="1"/>
    <col min="5386" max="5386" width="8.375" style="568" bestFit="1" customWidth="1"/>
    <col min="5387" max="5387" width="18.75" style="568" bestFit="1" customWidth="1"/>
    <col min="5388" max="5389" width="8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40" width="7.625" style="568" bestFit="1" customWidth="1"/>
    <col min="5641" max="5641" width="5" style="568" bestFit="1" customWidth="1"/>
    <col min="5642" max="5642" width="8.375" style="568" bestFit="1" customWidth="1"/>
    <col min="5643" max="5643" width="18.75" style="568" bestFit="1" customWidth="1"/>
    <col min="5644" max="5645" width="8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6" width="7.625" style="568" bestFit="1" customWidth="1"/>
    <col min="5897" max="5897" width="5" style="568" bestFit="1" customWidth="1"/>
    <col min="5898" max="5898" width="8.375" style="568" bestFit="1" customWidth="1"/>
    <col min="5899" max="5899" width="18.75" style="568" bestFit="1" customWidth="1"/>
    <col min="5900" max="5901" width="8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2" width="7.625" style="568" bestFit="1" customWidth="1"/>
    <col min="6153" max="6153" width="5" style="568" bestFit="1" customWidth="1"/>
    <col min="6154" max="6154" width="8.375" style="568" bestFit="1" customWidth="1"/>
    <col min="6155" max="6155" width="18.75" style="568" bestFit="1" customWidth="1"/>
    <col min="6156" max="6157" width="8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8" width="7.625" style="568" bestFit="1" customWidth="1"/>
    <col min="6409" max="6409" width="5" style="568" bestFit="1" customWidth="1"/>
    <col min="6410" max="6410" width="8.375" style="568" bestFit="1" customWidth="1"/>
    <col min="6411" max="6411" width="18.75" style="568" bestFit="1" customWidth="1"/>
    <col min="6412" max="6413" width="8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4" width="7.625" style="568" bestFit="1" customWidth="1"/>
    <col min="6665" max="6665" width="5" style="568" bestFit="1" customWidth="1"/>
    <col min="6666" max="6666" width="8.375" style="568" bestFit="1" customWidth="1"/>
    <col min="6667" max="6667" width="18.75" style="568" bestFit="1" customWidth="1"/>
    <col min="6668" max="6669" width="8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20" width="7.625" style="568" bestFit="1" customWidth="1"/>
    <col min="6921" max="6921" width="5" style="568" bestFit="1" customWidth="1"/>
    <col min="6922" max="6922" width="8.375" style="568" bestFit="1" customWidth="1"/>
    <col min="6923" max="6923" width="18.75" style="568" bestFit="1" customWidth="1"/>
    <col min="6924" max="6925" width="8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6" width="7.625" style="568" bestFit="1" customWidth="1"/>
    <col min="7177" max="7177" width="5" style="568" bestFit="1" customWidth="1"/>
    <col min="7178" max="7178" width="8.375" style="568" bestFit="1" customWidth="1"/>
    <col min="7179" max="7179" width="18.75" style="568" bestFit="1" customWidth="1"/>
    <col min="7180" max="7181" width="8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2" width="7.625" style="568" bestFit="1" customWidth="1"/>
    <col min="7433" max="7433" width="5" style="568" bestFit="1" customWidth="1"/>
    <col min="7434" max="7434" width="8.375" style="568" bestFit="1" customWidth="1"/>
    <col min="7435" max="7435" width="18.75" style="568" bestFit="1" customWidth="1"/>
    <col min="7436" max="7437" width="8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8" width="7.625" style="568" bestFit="1" customWidth="1"/>
    <col min="7689" max="7689" width="5" style="568" bestFit="1" customWidth="1"/>
    <col min="7690" max="7690" width="8.375" style="568" bestFit="1" customWidth="1"/>
    <col min="7691" max="7691" width="18.75" style="568" bestFit="1" customWidth="1"/>
    <col min="7692" max="7693" width="8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4" width="7.625" style="568" bestFit="1" customWidth="1"/>
    <col min="7945" max="7945" width="5" style="568" bestFit="1" customWidth="1"/>
    <col min="7946" max="7946" width="8.375" style="568" bestFit="1" customWidth="1"/>
    <col min="7947" max="7947" width="18.75" style="568" bestFit="1" customWidth="1"/>
    <col min="7948" max="7949" width="8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200" width="7.625" style="568" bestFit="1" customWidth="1"/>
    <col min="8201" max="8201" width="5" style="568" bestFit="1" customWidth="1"/>
    <col min="8202" max="8202" width="8.375" style="568" bestFit="1" customWidth="1"/>
    <col min="8203" max="8203" width="18.75" style="568" bestFit="1" customWidth="1"/>
    <col min="8204" max="8205" width="8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6" width="7.625" style="568" bestFit="1" customWidth="1"/>
    <col min="8457" max="8457" width="5" style="568" bestFit="1" customWidth="1"/>
    <col min="8458" max="8458" width="8.375" style="568" bestFit="1" customWidth="1"/>
    <col min="8459" max="8459" width="18.75" style="568" bestFit="1" customWidth="1"/>
    <col min="8460" max="8461" width="8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2" width="7.625" style="568" bestFit="1" customWidth="1"/>
    <col min="8713" max="8713" width="5" style="568" bestFit="1" customWidth="1"/>
    <col min="8714" max="8714" width="8.375" style="568" bestFit="1" customWidth="1"/>
    <col min="8715" max="8715" width="18.75" style="568" bestFit="1" customWidth="1"/>
    <col min="8716" max="8717" width="8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8" width="7.625" style="568" bestFit="1" customWidth="1"/>
    <col min="8969" max="8969" width="5" style="568" bestFit="1" customWidth="1"/>
    <col min="8970" max="8970" width="8.375" style="568" bestFit="1" customWidth="1"/>
    <col min="8971" max="8971" width="18.75" style="568" bestFit="1" customWidth="1"/>
    <col min="8972" max="8973" width="8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4" width="7.625" style="568" bestFit="1" customWidth="1"/>
    <col min="9225" max="9225" width="5" style="568" bestFit="1" customWidth="1"/>
    <col min="9226" max="9226" width="8.375" style="568" bestFit="1" customWidth="1"/>
    <col min="9227" max="9227" width="18.75" style="568" bestFit="1" customWidth="1"/>
    <col min="9228" max="9229" width="8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80" width="7.625" style="568" bestFit="1" customWidth="1"/>
    <col min="9481" max="9481" width="5" style="568" bestFit="1" customWidth="1"/>
    <col min="9482" max="9482" width="8.375" style="568" bestFit="1" customWidth="1"/>
    <col min="9483" max="9483" width="18.75" style="568" bestFit="1" customWidth="1"/>
    <col min="9484" max="9485" width="8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6" width="7.625" style="568" bestFit="1" customWidth="1"/>
    <col min="9737" max="9737" width="5" style="568" bestFit="1" customWidth="1"/>
    <col min="9738" max="9738" width="8.375" style="568" bestFit="1" customWidth="1"/>
    <col min="9739" max="9739" width="18.75" style="568" bestFit="1" customWidth="1"/>
    <col min="9740" max="9741" width="8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2" width="7.625" style="568" bestFit="1" customWidth="1"/>
    <col min="9993" max="9993" width="5" style="568" bestFit="1" customWidth="1"/>
    <col min="9994" max="9994" width="8.375" style="568" bestFit="1" customWidth="1"/>
    <col min="9995" max="9995" width="18.75" style="568" bestFit="1" customWidth="1"/>
    <col min="9996" max="9997" width="8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8" width="7.625" style="568" bestFit="1" customWidth="1"/>
    <col min="10249" max="10249" width="5" style="568" bestFit="1" customWidth="1"/>
    <col min="10250" max="10250" width="8.375" style="568" bestFit="1" customWidth="1"/>
    <col min="10251" max="10251" width="18.75" style="568" bestFit="1" customWidth="1"/>
    <col min="10252" max="10253" width="8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4" width="7.625" style="568" bestFit="1" customWidth="1"/>
    <col min="10505" max="10505" width="5" style="568" bestFit="1" customWidth="1"/>
    <col min="10506" max="10506" width="8.375" style="568" bestFit="1" customWidth="1"/>
    <col min="10507" max="10507" width="18.75" style="568" bestFit="1" customWidth="1"/>
    <col min="10508" max="10509" width="8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60" width="7.625" style="568" bestFit="1" customWidth="1"/>
    <col min="10761" max="10761" width="5" style="568" bestFit="1" customWidth="1"/>
    <col min="10762" max="10762" width="8.375" style="568" bestFit="1" customWidth="1"/>
    <col min="10763" max="10763" width="18.75" style="568" bestFit="1" customWidth="1"/>
    <col min="10764" max="10765" width="8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6" width="7.625" style="568" bestFit="1" customWidth="1"/>
    <col min="11017" max="11017" width="5" style="568" bestFit="1" customWidth="1"/>
    <col min="11018" max="11018" width="8.375" style="568" bestFit="1" customWidth="1"/>
    <col min="11019" max="11019" width="18.75" style="568" bestFit="1" customWidth="1"/>
    <col min="11020" max="11021" width="8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2" width="7.625" style="568" bestFit="1" customWidth="1"/>
    <col min="11273" max="11273" width="5" style="568" bestFit="1" customWidth="1"/>
    <col min="11274" max="11274" width="8.375" style="568" bestFit="1" customWidth="1"/>
    <col min="11275" max="11275" width="18.75" style="568" bestFit="1" customWidth="1"/>
    <col min="11276" max="11277" width="8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8" width="7.625" style="568" bestFit="1" customWidth="1"/>
    <col min="11529" max="11529" width="5" style="568" bestFit="1" customWidth="1"/>
    <col min="11530" max="11530" width="8.375" style="568" bestFit="1" customWidth="1"/>
    <col min="11531" max="11531" width="18.75" style="568" bestFit="1" customWidth="1"/>
    <col min="11532" max="11533" width="8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4" width="7.625" style="568" bestFit="1" customWidth="1"/>
    <col min="11785" max="11785" width="5" style="568" bestFit="1" customWidth="1"/>
    <col min="11786" max="11786" width="8.375" style="568" bestFit="1" customWidth="1"/>
    <col min="11787" max="11787" width="18.75" style="568" bestFit="1" customWidth="1"/>
    <col min="11788" max="11789" width="8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40" width="7.625" style="568" bestFit="1" customWidth="1"/>
    <col min="12041" max="12041" width="5" style="568" bestFit="1" customWidth="1"/>
    <col min="12042" max="12042" width="8.375" style="568" bestFit="1" customWidth="1"/>
    <col min="12043" max="12043" width="18.75" style="568" bestFit="1" customWidth="1"/>
    <col min="12044" max="12045" width="8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6" width="7.625" style="568" bestFit="1" customWidth="1"/>
    <col min="12297" max="12297" width="5" style="568" bestFit="1" customWidth="1"/>
    <col min="12298" max="12298" width="8.375" style="568" bestFit="1" customWidth="1"/>
    <col min="12299" max="12299" width="18.75" style="568" bestFit="1" customWidth="1"/>
    <col min="12300" max="12301" width="8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2" width="7.625" style="568" bestFit="1" customWidth="1"/>
    <col min="12553" max="12553" width="5" style="568" bestFit="1" customWidth="1"/>
    <col min="12554" max="12554" width="8.375" style="568" bestFit="1" customWidth="1"/>
    <col min="12555" max="12555" width="18.75" style="568" bestFit="1" customWidth="1"/>
    <col min="12556" max="12557" width="8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8" width="7.625" style="568" bestFit="1" customWidth="1"/>
    <col min="12809" max="12809" width="5" style="568" bestFit="1" customWidth="1"/>
    <col min="12810" max="12810" width="8.375" style="568" bestFit="1" customWidth="1"/>
    <col min="12811" max="12811" width="18.75" style="568" bestFit="1" customWidth="1"/>
    <col min="12812" max="12813" width="8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4" width="7.625" style="568" bestFit="1" customWidth="1"/>
    <col min="13065" max="13065" width="5" style="568" bestFit="1" customWidth="1"/>
    <col min="13066" max="13066" width="8.375" style="568" bestFit="1" customWidth="1"/>
    <col min="13067" max="13067" width="18.75" style="568" bestFit="1" customWidth="1"/>
    <col min="13068" max="13069" width="8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20" width="7.625" style="568" bestFit="1" customWidth="1"/>
    <col min="13321" max="13321" width="5" style="568" bestFit="1" customWidth="1"/>
    <col min="13322" max="13322" width="8.375" style="568" bestFit="1" customWidth="1"/>
    <col min="13323" max="13323" width="18.75" style="568" bestFit="1" customWidth="1"/>
    <col min="13324" max="13325" width="8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6" width="7.625" style="568" bestFit="1" customWidth="1"/>
    <col min="13577" max="13577" width="5" style="568" bestFit="1" customWidth="1"/>
    <col min="13578" max="13578" width="8.375" style="568" bestFit="1" customWidth="1"/>
    <col min="13579" max="13579" width="18.75" style="568" bestFit="1" customWidth="1"/>
    <col min="13580" max="13581" width="8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2" width="7.625" style="568" bestFit="1" customWidth="1"/>
    <col min="13833" max="13833" width="5" style="568" bestFit="1" customWidth="1"/>
    <col min="13834" max="13834" width="8.375" style="568" bestFit="1" customWidth="1"/>
    <col min="13835" max="13835" width="18.75" style="568" bestFit="1" customWidth="1"/>
    <col min="13836" max="13837" width="8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8" width="7.625" style="568" bestFit="1" customWidth="1"/>
    <col min="14089" max="14089" width="5" style="568" bestFit="1" customWidth="1"/>
    <col min="14090" max="14090" width="8.375" style="568" bestFit="1" customWidth="1"/>
    <col min="14091" max="14091" width="18.75" style="568" bestFit="1" customWidth="1"/>
    <col min="14092" max="14093" width="8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4" width="7.625" style="568" bestFit="1" customWidth="1"/>
    <col min="14345" max="14345" width="5" style="568" bestFit="1" customWidth="1"/>
    <col min="14346" max="14346" width="8.375" style="568" bestFit="1" customWidth="1"/>
    <col min="14347" max="14347" width="18.75" style="568" bestFit="1" customWidth="1"/>
    <col min="14348" max="14349" width="8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600" width="7.625" style="568" bestFit="1" customWidth="1"/>
    <col min="14601" max="14601" width="5" style="568" bestFit="1" customWidth="1"/>
    <col min="14602" max="14602" width="8.375" style="568" bestFit="1" customWidth="1"/>
    <col min="14603" max="14603" width="18.75" style="568" bestFit="1" customWidth="1"/>
    <col min="14604" max="14605" width="8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6" width="7.625" style="568" bestFit="1" customWidth="1"/>
    <col min="14857" max="14857" width="5" style="568" bestFit="1" customWidth="1"/>
    <col min="14858" max="14858" width="8.375" style="568" bestFit="1" customWidth="1"/>
    <col min="14859" max="14859" width="18.75" style="568" bestFit="1" customWidth="1"/>
    <col min="14860" max="14861" width="8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2" width="7.625" style="568" bestFit="1" customWidth="1"/>
    <col min="15113" max="15113" width="5" style="568" bestFit="1" customWidth="1"/>
    <col min="15114" max="15114" width="8.375" style="568" bestFit="1" customWidth="1"/>
    <col min="15115" max="15115" width="18.75" style="568" bestFit="1" customWidth="1"/>
    <col min="15116" max="15117" width="8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8" width="7.625" style="568" bestFit="1" customWidth="1"/>
    <col min="15369" max="15369" width="5" style="568" bestFit="1" customWidth="1"/>
    <col min="15370" max="15370" width="8.375" style="568" bestFit="1" customWidth="1"/>
    <col min="15371" max="15371" width="18.75" style="568" bestFit="1" customWidth="1"/>
    <col min="15372" max="15373" width="8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4" width="7.625" style="568" bestFit="1" customWidth="1"/>
    <col min="15625" max="15625" width="5" style="568" bestFit="1" customWidth="1"/>
    <col min="15626" max="15626" width="8.375" style="568" bestFit="1" customWidth="1"/>
    <col min="15627" max="15627" width="18.75" style="568" bestFit="1" customWidth="1"/>
    <col min="15628" max="15629" width="8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80" width="7.625" style="568" bestFit="1" customWidth="1"/>
    <col min="15881" max="15881" width="5" style="568" bestFit="1" customWidth="1"/>
    <col min="15882" max="15882" width="8.375" style="568" bestFit="1" customWidth="1"/>
    <col min="15883" max="15883" width="18.75" style="568" bestFit="1" customWidth="1"/>
    <col min="15884" max="15885" width="8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6" width="7.625" style="568" bestFit="1" customWidth="1"/>
    <col min="16137" max="16137" width="5" style="568" bestFit="1" customWidth="1"/>
    <col min="16138" max="16138" width="8.375" style="568" bestFit="1" customWidth="1"/>
    <col min="16139" max="16139" width="18.75" style="568" bestFit="1" customWidth="1"/>
    <col min="16140" max="16141" width="8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761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401</v>
      </c>
      <c r="J9" s="567" t="s">
        <v>327</v>
      </c>
      <c r="K9" s="567" t="s">
        <v>1002</v>
      </c>
      <c r="L9" s="567" t="s">
        <v>1003</v>
      </c>
      <c r="M9" s="567" t="s">
        <v>1004</v>
      </c>
      <c r="N9" s="567" t="s">
        <v>1011</v>
      </c>
      <c r="O9" s="567" t="s">
        <v>1012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0.21541666666666667</v>
      </c>
      <c r="E10" s="567">
        <v>148896</v>
      </c>
      <c r="F10" s="567" t="s">
        <v>1001</v>
      </c>
      <c r="G10" s="567" t="s">
        <v>326</v>
      </c>
      <c r="H10" s="567">
        <v>0</v>
      </c>
      <c r="I10" s="567">
        <v>401</v>
      </c>
      <c r="J10" s="567" t="s">
        <v>327</v>
      </c>
      <c r="K10" s="567" t="s">
        <v>1002</v>
      </c>
      <c r="L10" s="567" t="s">
        <v>1003</v>
      </c>
      <c r="M10" s="567" t="s">
        <v>1004</v>
      </c>
      <c r="N10" s="567" t="s">
        <v>1011</v>
      </c>
      <c r="O10" s="567" t="s">
        <v>1012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0.22916666666666666</v>
      </c>
      <c r="E11" s="567">
        <v>9504</v>
      </c>
      <c r="F11" s="567" t="s">
        <v>335</v>
      </c>
      <c r="G11" s="567">
        <v>0</v>
      </c>
      <c r="H11" s="567" t="s">
        <v>326</v>
      </c>
      <c r="I11" s="567" t="s">
        <v>336</v>
      </c>
      <c r="J11" s="567">
        <v>0</v>
      </c>
      <c r="K11" s="567" t="s">
        <v>337</v>
      </c>
      <c r="L11" s="567">
        <v>45</v>
      </c>
      <c r="M11" s="567">
        <v>1</v>
      </c>
    </row>
    <row r="12" spans="1:18" ht="15" x14ac:dyDescent="0.2">
      <c r="A12" s="567"/>
      <c r="B12" s="567"/>
      <c r="C12" s="567"/>
      <c r="D12" s="569">
        <v>0.23263888888888887</v>
      </c>
      <c r="E12" s="567">
        <v>0</v>
      </c>
      <c r="F12" s="567" t="s">
        <v>1001</v>
      </c>
      <c r="G12" s="567" t="s">
        <v>326</v>
      </c>
      <c r="H12" s="567">
        <v>0</v>
      </c>
      <c r="I12" s="567">
        <v>97</v>
      </c>
      <c r="J12" s="567" t="s">
        <v>1010</v>
      </c>
      <c r="K12" s="567" t="s">
        <v>1002</v>
      </c>
      <c r="L12" s="567" t="s">
        <v>1003</v>
      </c>
      <c r="M12" s="567" t="s">
        <v>1004</v>
      </c>
      <c r="N12" s="567" t="s">
        <v>1005</v>
      </c>
      <c r="O12" s="567" t="s">
        <v>1006</v>
      </c>
      <c r="P12" s="567" t="s">
        <v>1007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0.35601851851851851</v>
      </c>
      <c r="E13" s="567">
        <v>85280</v>
      </c>
      <c r="F13" s="567" t="s">
        <v>1001</v>
      </c>
      <c r="G13" s="567" t="s">
        <v>326</v>
      </c>
      <c r="H13" s="567">
        <v>0</v>
      </c>
      <c r="I13" s="567">
        <v>97</v>
      </c>
      <c r="J13" s="567" t="s">
        <v>1010</v>
      </c>
      <c r="K13" s="567" t="s">
        <v>1002</v>
      </c>
      <c r="L13" s="567" t="s">
        <v>1003</v>
      </c>
      <c r="M13" s="567" t="s">
        <v>1004</v>
      </c>
      <c r="N13" s="567" t="s">
        <v>1005</v>
      </c>
      <c r="O13" s="567" t="s">
        <v>1006</v>
      </c>
      <c r="P13" s="567" t="s">
        <v>1009</v>
      </c>
      <c r="Q13" s="567" t="s">
        <v>1008</v>
      </c>
      <c r="R13" s="567">
        <v>80</v>
      </c>
    </row>
    <row r="14" spans="1:18" ht="15" x14ac:dyDescent="0.2">
      <c r="A14" s="567"/>
      <c r="B14" s="567"/>
      <c r="C14" s="567"/>
      <c r="D14" s="569">
        <v>0.36388888888888887</v>
      </c>
      <c r="E14" s="567">
        <v>5440</v>
      </c>
      <c r="F14" s="567" t="s">
        <v>1001</v>
      </c>
      <c r="G14" s="567" t="s">
        <v>326</v>
      </c>
      <c r="H14" s="567">
        <v>0</v>
      </c>
      <c r="I14" s="567">
        <v>97</v>
      </c>
      <c r="J14" s="567" t="s">
        <v>1010</v>
      </c>
      <c r="K14" s="567" t="s">
        <v>1002</v>
      </c>
      <c r="L14" s="567" t="s">
        <v>1003</v>
      </c>
      <c r="M14" s="567" t="s">
        <v>1004</v>
      </c>
      <c r="N14" s="567" t="s">
        <v>1011</v>
      </c>
      <c r="O14" s="567" t="s">
        <v>1012</v>
      </c>
      <c r="P14" s="567" t="s">
        <v>1007</v>
      </c>
      <c r="Q14" s="567" t="s">
        <v>1008</v>
      </c>
      <c r="R14" s="567">
        <v>80</v>
      </c>
    </row>
    <row r="15" spans="1:18" ht="15" x14ac:dyDescent="0.2">
      <c r="A15" s="567"/>
      <c r="B15" s="567"/>
      <c r="C15" s="567"/>
      <c r="D15" s="569">
        <v>0.50097222222222226</v>
      </c>
      <c r="E15" s="567">
        <v>94752</v>
      </c>
      <c r="F15" s="567" t="s">
        <v>1001</v>
      </c>
      <c r="G15" s="567" t="s">
        <v>326</v>
      </c>
      <c r="H15" s="567">
        <v>0</v>
      </c>
      <c r="I15" s="567">
        <v>97</v>
      </c>
      <c r="J15" s="567" t="s">
        <v>1010</v>
      </c>
      <c r="K15" s="567" t="s">
        <v>1002</v>
      </c>
      <c r="L15" s="567" t="s">
        <v>1003</v>
      </c>
      <c r="M15" s="567" t="s">
        <v>1004</v>
      </c>
      <c r="N15" s="567" t="s">
        <v>1011</v>
      </c>
      <c r="O15" s="567" t="s">
        <v>1012</v>
      </c>
      <c r="P15" s="567" t="s">
        <v>1009</v>
      </c>
      <c r="Q15" s="567" t="s">
        <v>1008</v>
      </c>
      <c r="R15" s="567">
        <v>80</v>
      </c>
    </row>
    <row r="16" spans="1:18" ht="15" x14ac:dyDescent="0.2">
      <c r="A16" s="567"/>
      <c r="B16" s="567"/>
      <c r="C16" s="567"/>
      <c r="D16" s="569">
        <v>0.50972222222222219</v>
      </c>
      <c r="E16" s="567">
        <v>6048</v>
      </c>
      <c r="F16" s="567" t="s">
        <v>1001</v>
      </c>
      <c r="G16" s="567" t="s">
        <v>326</v>
      </c>
      <c r="H16" s="567">
        <v>0</v>
      </c>
      <c r="I16" s="567">
        <v>401</v>
      </c>
      <c r="J16" s="567" t="s">
        <v>327</v>
      </c>
      <c r="K16" s="567" t="s">
        <v>1002</v>
      </c>
      <c r="L16" s="567" t="s">
        <v>1003</v>
      </c>
      <c r="M16" s="567" t="s">
        <v>1004</v>
      </c>
      <c r="N16" s="567" t="s">
        <v>1005</v>
      </c>
      <c r="O16" s="567" t="s">
        <v>1006</v>
      </c>
      <c r="P16" s="567" t="s">
        <v>1007</v>
      </c>
      <c r="Q16" s="567" t="s">
        <v>1008</v>
      </c>
      <c r="R16" s="567">
        <v>80</v>
      </c>
    </row>
    <row r="17" spans="1:18" ht="15" x14ac:dyDescent="0.2">
      <c r="A17" s="567"/>
      <c r="B17" s="567"/>
      <c r="C17" s="567"/>
      <c r="D17" s="569">
        <v>0.68597222222222232</v>
      </c>
      <c r="E17" s="567">
        <v>121824</v>
      </c>
      <c r="F17" s="567" t="s">
        <v>1001</v>
      </c>
      <c r="G17" s="567" t="s">
        <v>326</v>
      </c>
      <c r="H17" s="567">
        <v>0</v>
      </c>
      <c r="I17" s="567">
        <v>401</v>
      </c>
      <c r="J17" s="567" t="s">
        <v>327</v>
      </c>
      <c r="K17" s="567" t="s">
        <v>1002</v>
      </c>
      <c r="L17" s="567" t="s">
        <v>1003</v>
      </c>
      <c r="M17" s="567" t="s">
        <v>1004</v>
      </c>
      <c r="N17" s="567" t="s">
        <v>1005</v>
      </c>
      <c r="O17" s="567" t="s">
        <v>1006</v>
      </c>
      <c r="P17" s="567" t="s">
        <v>1009</v>
      </c>
      <c r="Q17" s="567" t="s">
        <v>1008</v>
      </c>
      <c r="R17" s="567">
        <v>80</v>
      </c>
    </row>
    <row r="18" spans="1:18" ht="15" x14ac:dyDescent="0.2">
      <c r="A18" s="567"/>
      <c r="B18" s="567"/>
      <c r="C18" s="567"/>
      <c r="D18" s="569">
        <v>0.68597222222222232</v>
      </c>
      <c r="E18" s="567">
        <v>0</v>
      </c>
      <c r="F18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8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8" width="7.625" style="568" bestFit="1" customWidth="1"/>
    <col min="9" max="9" width="5" style="568" bestFit="1" customWidth="1"/>
    <col min="10" max="10" width="8.375" style="568" bestFit="1" customWidth="1"/>
    <col min="11" max="11" width="18.75" style="568" bestFit="1" customWidth="1"/>
    <col min="12" max="13" width="11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4" width="7.625" style="568" bestFit="1" customWidth="1"/>
    <col min="265" max="265" width="5" style="568" bestFit="1" customWidth="1"/>
    <col min="266" max="266" width="8.375" style="568" bestFit="1" customWidth="1"/>
    <col min="267" max="267" width="18.75" style="568" bestFit="1" customWidth="1"/>
    <col min="268" max="269" width="11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20" width="7.625" style="568" bestFit="1" customWidth="1"/>
    <col min="521" max="521" width="5" style="568" bestFit="1" customWidth="1"/>
    <col min="522" max="522" width="8.375" style="568" bestFit="1" customWidth="1"/>
    <col min="523" max="523" width="18.75" style="568" bestFit="1" customWidth="1"/>
    <col min="524" max="525" width="11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6" width="7.625" style="568" bestFit="1" customWidth="1"/>
    <col min="777" max="777" width="5" style="568" bestFit="1" customWidth="1"/>
    <col min="778" max="778" width="8.375" style="568" bestFit="1" customWidth="1"/>
    <col min="779" max="779" width="18.75" style="568" bestFit="1" customWidth="1"/>
    <col min="780" max="781" width="11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2" width="7.625" style="568" bestFit="1" customWidth="1"/>
    <col min="1033" max="1033" width="5" style="568" bestFit="1" customWidth="1"/>
    <col min="1034" max="1034" width="8.375" style="568" bestFit="1" customWidth="1"/>
    <col min="1035" max="1035" width="18.75" style="568" bestFit="1" customWidth="1"/>
    <col min="1036" max="1037" width="11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8" width="7.625" style="568" bestFit="1" customWidth="1"/>
    <col min="1289" max="1289" width="5" style="568" bestFit="1" customWidth="1"/>
    <col min="1290" max="1290" width="8.375" style="568" bestFit="1" customWidth="1"/>
    <col min="1291" max="1291" width="18.75" style="568" bestFit="1" customWidth="1"/>
    <col min="1292" max="1293" width="11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4" width="7.625" style="568" bestFit="1" customWidth="1"/>
    <col min="1545" max="1545" width="5" style="568" bestFit="1" customWidth="1"/>
    <col min="1546" max="1546" width="8.375" style="568" bestFit="1" customWidth="1"/>
    <col min="1547" max="1547" width="18.75" style="568" bestFit="1" customWidth="1"/>
    <col min="1548" max="1549" width="11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800" width="7.625" style="568" bestFit="1" customWidth="1"/>
    <col min="1801" max="1801" width="5" style="568" bestFit="1" customWidth="1"/>
    <col min="1802" max="1802" width="8.375" style="568" bestFit="1" customWidth="1"/>
    <col min="1803" max="1803" width="18.75" style="568" bestFit="1" customWidth="1"/>
    <col min="1804" max="1805" width="11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6" width="7.625" style="568" bestFit="1" customWidth="1"/>
    <col min="2057" max="2057" width="5" style="568" bestFit="1" customWidth="1"/>
    <col min="2058" max="2058" width="8.375" style="568" bestFit="1" customWidth="1"/>
    <col min="2059" max="2059" width="18.75" style="568" bestFit="1" customWidth="1"/>
    <col min="2060" max="2061" width="11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2" width="7.625" style="568" bestFit="1" customWidth="1"/>
    <col min="2313" max="2313" width="5" style="568" bestFit="1" customWidth="1"/>
    <col min="2314" max="2314" width="8.375" style="568" bestFit="1" customWidth="1"/>
    <col min="2315" max="2315" width="18.75" style="568" bestFit="1" customWidth="1"/>
    <col min="2316" max="2317" width="11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8" width="7.625" style="568" bestFit="1" customWidth="1"/>
    <col min="2569" max="2569" width="5" style="568" bestFit="1" customWidth="1"/>
    <col min="2570" max="2570" width="8.375" style="568" bestFit="1" customWidth="1"/>
    <col min="2571" max="2571" width="18.75" style="568" bestFit="1" customWidth="1"/>
    <col min="2572" max="2573" width="11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4" width="7.625" style="568" bestFit="1" customWidth="1"/>
    <col min="2825" max="2825" width="5" style="568" bestFit="1" customWidth="1"/>
    <col min="2826" max="2826" width="8.375" style="568" bestFit="1" customWidth="1"/>
    <col min="2827" max="2827" width="18.75" style="568" bestFit="1" customWidth="1"/>
    <col min="2828" max="2829" width="11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80" width="7.625" style="568" bestFit="1" customWidth="1"/>
    <col min="3081" max="3081" width="5" style="568" bestFit="1" customWidth="1"/>
    <col min="3082" max="3082" width="8.375" style="568" bestFit="1" customWidth="1"/>
    <col min="3083" max="3083" width="18.75" style="568" bestFit="1" customWidth="1"/>
    <col min="3084" max="3085" width="11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6" width="7.625" style="568" bestFit="1" customWidth="1"/>
    <col min="3337" max="3337" width="5" style="568" bestFit="1" customWidth="1"/>
    <col min="3338" max="3338" width="8.375" style="568" bestFit="1" customWidth="1"/>
    <col min="3339" max="3339" width="18.75" style="568" bestFit="1" customWidth="1"/>
    <col min="3340" max="3341" width="11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2" width="7.625" style="568" bestFit="1" customWidth="1"/>
    <col min="3593" max="3593" width="5" style="568" bestFit="1" customWidth="1"/>
    <col min="3594" max="3594" width="8.375" style="568" bestFit="1" customWidth="1"/>
    <col min="3595" max="3595" width="18.75" style="568" bestFit="1" customWidth="1"/>
    <col min="3596" max="3597" width="11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8" width="7.625" style="568" bestFit="1" customWidth="1"/>
    <col min="3849" max="3849" width="5" style="568" bestFit="1" customWidth="1"/>
    <col min="3850" max="3850" width="8.375" style="568" bestFit="1" customWidth="1"/>
    <col min="3851" max="3851" width="18.75" style="568" bestFit="1" customWidth="1"/>
    <col min="3852" max="3853" width="11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4" width="7.625" style="568" bestFit="1" customWidth="1"/>
    <col min="4105" max="4105" width="5" style="568" bestFit="1" customWidth="1"/>
    <col min="4106" max="4106" width="8.375" style="568" bestFit="1" customWidth="1"/>
    <col min="4107" max="4107" width="18.75" style="568" bestFit="1" customWidth="1"/>
    <col min="4108" max="4109" width="11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60" width="7.625" style="568" bestFit="1" customWidth="1"/>
    <col min="4361" max="4361" width="5" style="568" bestFit="1" customWidth="1"/>
    <col min="4362" max="4362" width="8.375" style="568" bestFit="1" customWidth="1"/>
    <col min="4363" max="4363" width="18.75" style="568" bestFit="1" customWidth="1"/>
    <col min="4364" max="4365" width="11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6" width="7.625" style="568" bestFit="1" customWidth="1"/>
    <col min="4617" max="4617" width="5" style="568" bestFit="1" customWidth="1"/>
    <col min="4618" max="4618" width="8.375" style="568" bestFit="1" customWidth="1"/>
    <col min="4619" max="4619" width="18.75" style="568" bestFit="1" customWidth="1"/>
    <col min="4620" max="4621" width="11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2" width="7.625" style="568" bestFit="1" customWidth="1"/>
    <col min="4873" max="4873" width="5" style="568" bestFit="1" customWidth="1"/>
    <col min="4874" max="4874" width="8.375" style="568" bestFit="1" customWidth="1"/>
    <col min="4875" max="4875" width="18.75" style="568" bestFit="1" customWidth="1"/>
    <col min="4876" max="4877" width="11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8" width="7.625" style="568" bestFit="1" customWidth="1"/>
    <col min="5129" max="5129" width="5" style="568" bestFit="1" customWidth="1"/>
    <col min="5130" max="5130" width="8.375" style="568" bestFit="1" customWidth="1"/>
    <col min="5131" max="5131" width="18.75" style="568" bestFit="1" customWidth="1"/>
    <col min="5132" max="5133" width="11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4" width="7.625" style="568" bestFit="1" customWidth="1"/>
    <col min="5385" max="5385" width="5" style="568" bestFit="1" customWidth="1"/>
    <col min="5386" max="5386" width="8.375" style="568" bestFit="1" customWidth="1"/>
    <col min="5387" max="5387" width="18.75" style="568" bestFit="1" customWidth="1"/>
    <col min="5388" max="5389" width="11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40" width="7.625" style="568" bestFit="1" customWidth="1"/>
    <col min="5641" max="5641" width="5" style="568" bestFit="1" customWidth="1"/>
    <col min="5642" max="5642" width="8.375" style="568" bestFit="1" customWidth="1"/>
    <col min="5643" max="5643" width="18.75" style="568" bestFit="1" customWidth="1"/>
    <col min="5644" max="5645" width="11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6" width="7.625" style="568" bestFit="1" customWidth="1"/>
    <col min="5897" max="5897" width="5" style="568" bestFit="1" customWidth="1"/>
    <col min="5898" max="5898" width="8.375" style="568" bestFit="1" customWidth="1"/>
    <col min="5899" max="5899" width="18.75" style="568" bestFit="1" customWidth="1"/>
    <col min="5900" max="5901" width="11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2" width="7.625" style="568" bestFit="1" customWidth="1"/>
    <col min="6153" max="6153" width="5" style="568" bestFit="1" customWidth="1"/>
    <col min="6154" max="6154" width="8.375" style="568" bestFit="1" customWidth="1"/>
    <col min="6155" max="6155" width="18.75" style="568" bestFit="1" customWidth="1"/>
    <col min="6156" max="6157" width="11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8" width="7.625" style="568" bestFit="1" customWidth="1"/>
    <col min="6409" max="6409" width="5" style="568" bestFit="1" customWidth="1"/>
    <col min="6410" max="6410" width="8.375" style="568" bestFit="1" customWidth="1"/>
    <col min="6411" max="6411" width="18.75" style="568" bestFit="1" customWidth="1"/>
    <col min="6412" max="6413" width="11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4" width="7.625" style="568" bestFit="1" customWidth="1"/>
    <col min="6665" max="6665" width="5" style="568" bestFit="1" customWidth="1"/>
    <col min="6666" max="6666" width="8.375" style="568" bestFit="1" customWidth="1"/>
    <col min="6667" max="6667" width="18.75" style="568" bestFit="1" customWidth="1"/>
    <col min="6668" max="6669" width="11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20" width="7.625" style="568" bestFit="1" customWidth="1"/>
    <col min="6921" max="6921" width="5" style="568" bestFit="1" customWidth="1"/>
    <col min="6922" max="6922" width="8.375" style="568" bestFit="1" customWidth="1"/>
    <col min="6923" max="6923" width="18.75" style="568" bestFit="1" customWidth="1"/>
    <col min="6924" max="6925" width="11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6" width="7.625" style="568" bestFit="1" customWidth="1"/>
    <col min="7177" max="7177" width="5" style="568" bestFit="1" customWidth="1"/>
    <col min="7178" max="7178" width="8.375" style="568" bestFit="1" customWidth="1"/>
    <col min="7179" max="7179" width="18.75" style="568" bestFit="1" customWidth="1"/>
    <col min="7180" max="7181" width="11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2" width="7.625" style="568" bestFit="1" customWidth="1"/>
    <col min="7433" max="7433" width="5" style="568" bestFit="1" customWidth="1"/>
    <col min="7434" max="7434" width="8.375" style="568" bestFit="1" customWidth="1"/>
    <col min="7435" max="7435" width="18.75" style="568" bestFit="1" customWidth="1"/>
    <col min="7436" max="7437" width="11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8" width="7.625" style="568" bestFit="1" customWidth="1"/>
    <col min="7689" max="7689" width="5" style="568" bestFit="1" customWidth="1"/>
    <col min="7690" max="7690" width="8.375" style="568" bestFit="1" customWidth="1"/>
    <col min="7691" max="7691" width="18.75" style="568" bestFit="1" customWidth="1"/>
    <col min="7692" max="7693" width="11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4" width="7.625" style="568" bestFit="1" customWidth="1"/>
    <col min="7945" max="7945" width="5" style="568" bestFit="1" customWidth="1"/>
    <col min="7946" max="7946" width="8.375" style="568" bestFit="1" customWidth="1"/>
    <col min="7947" max="7947" width="18.75" style="568" bestFit="1" customWidth="1"/>
    <col min="7948" max="7949" width="11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200" width="7.625" style="568" bestFit="1" customWidth="1"/>
    <col min="8201" max="8201" width="5" style="568" bestFit="1" customWidth="1"/>
    <col min="8202" max="8202" width="8.375" style="568" bestFit="1" customWidth="1"/>
    <col min="8203" max="8203" width="18.75" style="568" bestFit="1" customWidth="1"/>
    <col min="8204" max="8205" width="11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6" width="7.625" style="568" bestFit="1" customWidth="1"/>
    <col min="8457" max="8457" width="5" style="568" bestFit="1" customWidth="1"/>
    <col min="8458" max="8458" width="8.375" style="568" bestFit="1" customWidth="1"/>
    <col min="8459" max="8459" width="18.75" style="568" bestFit="1" customWidth="1"/>
    <col min="8460" max="8461" width="11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2" width="7.625" style="568" bestFit="1" customWidth="1"/>
    <col min="8713" max="8713" width="5" style="568" bestFit="1" customWidth="1"/>
    <col min="8714" max="8714" width="8.375" style="568" bestFit="1" customWidth="1"/>
    <col min="8715" max="8715" width="18.75" style="568" bestFit="1" customWidth="1"/>
    <col min="8716" max="8717" width="11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8" width="7.625" style="568" bestFit="1" customWidth="1"/>
    <col min="8969" max="8969" width="5" style="568" bestFit="1" customWidth="1"/>
    <col min="8970" max="8970" width="8.375" style="568" bestFit="1" customWidth="1"/>
    <col min="8971" max="8971" width="18.75" style="568" bestFit="1" customWidth="1"/>
    <col min="8972" max="8973" width="11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4" width="7.625" style="568" bestFit="1" customWidth="1"/>
    <col min="9225" max="9225" width="5" style="568" bestFit="1" customWidth="1"/>
    <col min="9226" max="9226" width="8.375" style="568" bestFit="1" customWidth="1"/>
    <col min="9227" max="9227" width="18.75" style="568" bestFit="1" customWidth="1"/>
    <col min="9228" max="9229" width="11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80" width="7.625" style="568" bestFit="1" customWidth="1"/>
    <col min="9481" max="9481" width="5" style="568" bestFit="1" customWidth="1"/>
    <col min="9482" max="9482" width="8.375" style="568" bestFit="1" customWidth="1"/>
    <col min="9483" max="9483" width="18.75" style="568" bestFit="1" customWidth="1"/>
    <col min="9484" max="9485" width="11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6" width="7.625" style="568" bestFit="1" customWidth="1"/>
    <col min="9737" max="9737" width="5" style="568" bestFit="1" customWidth="1"/>
    <col min="9738" max="9738" width="8.375" style="568" bestFit="1" customWidth="1"/>
    <col min="9739" max="9739" width="18.75" style="568" bestFit="1" customWidth="1"/>
    <col min="9740" max="9741" width="11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2" width="7.625" style="568" bestFit="1" customWidth="1"/>
    <col min="9993" max="9993" width="5" style="568" bestFit="1" customWidth="1"/>
    <col min="9994" max="9994" width="8.375" style="568" bestFit="1" customWidth="1"/>
    <col min="9995" max="9995" width="18.75" style="568" bestFit="1" customWidth="1"/>
    <col min="9996" max="9997" width="11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8" width="7.625" style="568" bestFit="1" customWidth="1"/>
    <col min="10249" max="10249" width="5" style="568" bestFit="1" customWidth="1"/>
    <col min="10250" max="10250" width="8.375" style="568" bestFit="1" customWidth="1"/>
    <col min="10251" max="10251" width="18.75" style="568" bestFit="1" customWidth="1"/>
    <col min="10252" max="10253" width="11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4" width="7.625" style="568" bestFit="1" customWidth="1"/>
    <col min="10505" max="10505" width="5" style="568" bestFit="1" customWidth="1"/>
    <col min="10506" max="10506" width="8.375" style="568" bestFit="1" customWidth="1"/>
    <col min="10507" max="10507" width="18.75" style="568" bestFit="1" customWidth="1"/>
    <col min="10508" max="10509" width="11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60" width="7.625" style="568" bestFit="1" customWidth="1"/>
    <col min="10761" max="10761" width="5" style="568" bestFit="1" customWidth="1"/>
    <col min="10762" max="10762" width="8.375" style="568" bestFit="1" customWidth="1"/>
    <col min="10763" max="10763" width="18.75" style="568" bestFit="1" customWidth="1"/>
    <col min="10764" max="10765" width="11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6" width="7.625" style="568" bestFit="1" customWidth="1"/>
    <col min="11017" max="11017" width="5" style="568" bestFit="1" customWidth="1"/>
    <col min="11018" max="11018" width="8.375" style="568" bestFit="1" customWidth="1"/>
    <col min="11019" max="11019" width="18.75" style="568" bestFit="1" customWidth="1"/>
    <col min="11020" max="11021" width="11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2" width="7.625" style="568" bestFit="1" customWidth="1"/>
    <col min="11273" max="11273" width="5" style="568" bestFit="1" customWidth="1"/>
    <col min="11274" max="11274" width="8.375" style="568" bestFit="1" customWidth="1"/>
    <col min="11275" max="11275" width="18.75" style="568" bestFit="1" customWidth="1"/>
    <col min="11276" max="11277" width="11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8" width="7.625" style="568" bestFit="1" customWidth="1"/>
    <col min="11529" max="11529" width="5" style="568" bestFit="1" customWidth="1"/>
    <col min="11530" max="11530" width="8.375" style="568" bestFit="1" customWidth="1"/>
    <col min="11531" max="11531" width="18.75" style="568" bestFit="1" customWidth="1"/>
    <col min="11532" max="11533" width="11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4" width="7.625" style="568" bestFit="1" customWidth="1"/>
    <col min="11785" max="11785" width="5" style="568" bestFit="1" customWidth="1"/>
    <col min="11786" max="11786" width="8.375" style="568" bestFit="1" customWidth="1"/>
    <col min="11787" max="11787" width="18.75" style="568" bestFit="1" customWidth="1"/>
    <col min="11788" max="11789" width="11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40" width="7.625" style="568" bestFit="1" customWidth="1"/>
    <col min="12041" max="12041" width="5" style="568" bestFit="1" customWidth="1"/>
    <col min="12042" max="12042" width="8.375" style="568" bestFit="1" customWidth="1"/>
    <col min="12043" max="12043" width="18.75" style="568" bestFit="1" customWidth="1"/>
    <col min="12044" max="12045" width="11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6" width="7.625" style="568" bestFit="1" customWidth="1"/>
    <col min="12297" max="12297" width="5" style="568" bestFit="1" customWidth="1"/>
    <col min="12298" max="12298" width="8.375" style="568" bestFit="1" customWidth="1"/>
    <col min="12299" max="12299" width="18.75" style="568" bestFit="1" customWidth="1"/>
    <col min="12300" max="12301" width="11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2" width="7.625" style="568" bestFit="1" customWidth="1"/>
    <col min="12553" max="12553" width="5" style="568" bestFit="1" customWidth="1"/>
    <col min="12554" max="12554" width="8.375" style="568" bestFit="1" customWidth="1"/>
    <col min="12555" max="12555" width="18.75" style="568" bestFit="1" customWidth="1"/>
    <col min="12556" max="12557" width="11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8" width="7.625" style="568" bestFit="1" customWidth="1"/>
    <col min="12809" max="12809" width="5" style="568" bestFit="1" customWidth="1"/>
    <col min="12810" max="12810" width="8.375" style="568" bestFit="1" customWidth="1"/>
    <col min="12811" max="12811" width="18.75" style="568" bestFit="1" customWidth="1"/>
    <col min="12812" max="12813" width="11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4" width="7.625" style="568" bestFit="1" customWidth="1"/>
    <col min="13065" max="13065" width="5" style="568" bestFit="1" customWidth="1"/>
    <col min="13066" max="13066" width="8.375" style="568" bestFit="1" customWidth="1"/>
    <col min="13067" max="13067" width="18.75" style="568" bestFit="1" customWidth="1"/>
    <col min="13068" max="13069" width="11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20" width="7.625" style="568" bestFit="1" customWidth="1"/>
    <col min="13321" max="13321" width="5" style="568" bestFit="1" customWidth="1"/>
    <col min="13322" max="13322" width="8.375" style="568" bestFit="1" customWidth="1"/>
    <col min="13323" max="13323" width="18.75" style="568" bestFit="1" customWidth="1"/>
    <col min="13324" max="13325" width="11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6" width="7.625" style="568" bestFit="1" customWidth="1"/>
    <col min="13577" max="13577" width="5" style="568" bestFit="1" customWidth="1"/>
    <col min="13578" max="13578" width="8.375" style="568" bestFit="1" customWidth="1"/>
    <col min="13579" max="13579" width="18.75" style="568" bestFit="1" customWidth="1"/>
    <col min="13580" max="13581" width="11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2" width="7.625" style="568" bestFit="1" customWidth="1"/>
    <col min="13833" max="13833" width="5" style="568" bestFit="1" customWidth="1"/>
    <col min="13834" max="13834" width="8.375" style="568" bestFit="1" customWidth="1"/>
    <col min="13835" max="13835" width="18.75" style="568" bestFit="1" customWidth="1"/>
    <col min="13836" max="13837" width="11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8" width="7.625" style="568" bestFit="1" customWidth="1"/>
    <col min="14089" max="14089" width="5" style="568" bestFit="1" customWidth="1"/>
    <col min="14090" max="14090" width="8.375" style="568" bestFit="1" customWidth="1"/>
    <col min="14091" max="14091" width="18.75" style="568" bestFit="1" customWidth="1"/>
    <col min="14092" max="14093" width="11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4" width="7.625" style="568" bestFit="1" customWidth="1"/>
    <col min="14345" max="14345" width="5" style="568" bestFit="1" customWidth="1"/>
    <col min="14346" max="14346" width="8.375" style="568" bestFit="1" customWidth="1"/>
    <col min="14347" max="14347" width="18.75" style="568" bestFit="1" customWidth="1"/>
    <col min="14348" max="14349" width="11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600" width="7.625" style="568" bestFit="1" customWidth="1"/>
    <col min="14601" max="14601" width="5" style="568" bestFit="1" customWidth="1"/>
    <col min="14602" max="14602" width="8.375" style="568" bestFit="1" customWidth="1"/>
    <col min="14603" max="14603" width="18.75" style="568" bestFit="1" customWidth="1"/>
    <col min="14604" max="14605" width="11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6" width="7.625" style="568" bestFit="1" customWidth="1"/>
    <col min="14857" max="14857" width="5" style="568" bestFit="1" customWidth="1"/>
    <col min="14858" max="14858" width="8.375" style="568" bestFit="1" customWidth="1"/>
    <col min="14859" max="14859" width="18.75" style="568" bestFit="1" customWidth="1"/>
    <col min="14860" max="14861" width="11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2" width="7.625" style="568" bestFit="1" customWidth="1"/>
    <col min="15113" max="15113" width="5" style="568" bestFit="1" customWidth="1"/>
    <col min="15114" max="15114" width="8.375" style="568" bestFit="1" customWidth="1"/>
    <col min="15115" max="15115" width="18.75" style="568" bestFit="1" customWidth="1"/>
    <col min="15116" max="15117" width="11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8" width="7.625" style="568" bestFit="1" customWidth="1"/>
    <col min="15369" max="15369" width="5" style="568" bestFit="1" customWidth="1"/>
    <col min="15370" max="15370" width="8.375" style="568" bestFit="1" customWidth="1"/>
    <col min="15371" max="15371" width="18.75" style="568" bestFit="1" customWidth="1"/>
    <col min="15372" max="15373" width="11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4" width="7.625" style="568" bestFit="1" customWidth="1"/>
    <col min="15625" max="15625" width="5" style="568" bestFit="1" customWidth="1"/>
    <col min="15626" max="15626" width="8.375" style="568" bestFit="1" customWidth="1"/>
    <col min="15627" max="15627" width="18.75" style="568" bestFit="1" customWidth="1"/>
    <col min="15628" max="15629" width="11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80" width="7.625" style="568" bestFit="1" customWidth="1"/>
    <col min="15881" max="15881" width="5" style="568" bestFit="1" customWidth="1"/>
    <col min="15882" max="15882" width="8.375" style="568" bestFit="1" customWidth="1"/>
    <col min="15883" max="15883" width="18.75" style="568" bestFit="1" customWidth="1"/>
    <col min="15884" max="15885" width="11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6" width="7.625" style="568" bestFit="1" customWidth="1"/>
    <col min="16137" max="16137" width="5" style="568" bestFit="1" customWidth="1"/>
    <col min="16138" max="16138" width="8.375" style="568" bestFit="1" customWidth="1"/>
    <col min="16139" max="16139" width="18.75" style="568" bestFit="1" customWidth="1"/>
    <col min="16140" max="16141" width="11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762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401</v>
      </c>
      <c r="J9" s="567" t="s">
        <v>327</v>
      </c>
      <c r="K9" s="567" t="s">
        <v>329</v>
      </c>
      <c r="L9" s="567" t="s">
        <v>330</v>
      </c>
      <c r="M9" s="567" t="s">
        <v>331</v>
      </c>
      <c r="N9" s="567" t="s">
        <v>1011</v>
      </c>
      <c r="O9" s="567" t="s">
        <v>1012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9.4976851851851854E-2</v>
      </c>
      <c r="E10" s="567">
        <v>65648</v>
      </c>
      <c r="F10" s="567" t="s">
        <v>1001</v>
      </c>
      <c r="G10" s="567" t="s">
        <v>326</v>
      </c>
      <c r="H10" s="567">
        <v>0</v>
      </c>
      <c r="I10" s="567">
        <v>401</v>
      </c>
      <c r="J10" s="567" t="s">
        <v>327</v>
      </c>
      <c r="K10" s="567" t="s">
        <v>329</v>
      </c>
      <c r="L10" s="567" t="s">
        <v>330</v>
      </c>
      <c r="M10" s="567" t="s">
        <v>331</v>
      </c>
      <c r="N10" s="567" t="s">
        <v>1011</v>
      </c>
      <c r="O10" s="567" t="s">
        <v>1012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0.10104166666666665</v>
      </c>
      <c r="E11" s="567">
        <v>4192</v>
      </c>
      <c r="F11" s="567" t="s">
        <v>335</v>
      </c>
      <c r="G11" s="567">
        <v>0</v>
      </c>
      <c r="H11" s="567" t="s">
        <v>326</v>
      </c>
      <c r="I11" s="567" t="s">
        <v>336</v>
      </c>
      <c r="J11" s="567">
        <v>0</v>
      </c>
      <c r="K11" s="567" t="s">
        <v>337</v>
      </c>
      <c r="L11" s="567">
        <v>45</v>
      </c>
      <c r="M11" s="567">
        <v>1</v>
      </c>
    </row>
    <row r="12" spans="1:18" ht="15" x14ac:dyDescent="0.2">
      <c r="A12" s="567"/>
      <c r="B12" s="567"/>
      <c r="C12" s="567"/>
      <c r="D12" s="569">
        <v>0.10451388888888889</v>
      </c>
      <c r="E12" s="567">
        <v>0</v>
      </c>
      <c r="F12" s="567" t="s">
        <v>1001</v>
      </c>
      <c r="G12" s="567" t="s">
        <v>326</v>
      </c>
      <c r="H12" s="567">
        <v>0</v>
      </c>
      <c r="I12" s="567">
        <v>97</v>
      </c>
      <c r="J12" s="567" t="s">
        <v>1010</v>
      </c>
      <c r="K12" s="567" t="s">
        <v>1002</v>
      </c>
      <c r="L12" s="567" t="s">
        <v>1003</v>
      </c>
      <c r="M12" s="567" t="s">
        <v>1004</v>
      </c>
      <c r="N12" s="567" t="s">
        <v>1011</v>
      </c>
      <c r="O12" s="567" t="s">
        <v>1012</v>
      </c>
      <c r="P12" s="567" t="s">
        <v>1007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0.21875</v>
      </c>
      <c r="E13" s="567">
        <v>78960</v>
      </c>
      <c r="F13" s="567" t="s">
        <v>1001</v>
      </c>
      <c r="G13" s="567" t="s">
        <v>326</v>
      </c>
      <c r="H13" s="567">
        <v>0</v>
      </c>
      <c r="I13" s="567">
        <v>97</v>
      </c>
      <c r="J13" s="567" t="s">
        <v>1010</v>
      </c>
      <c r="K13" s="567" t="s">
        <v>1002</v>
      </c>
      <c r="L13" s="567" t="s">
        <v>1003</v>
      </c>
      <c r="M13" s="567" t="s">
        <v>1004</v>
      </c>
      <c r="N13" s="567" t="s">
        <v>1011</v>
      </c>
      <c r="O13" s="567" t="s">
        <v>1012</v>
      </c>
      <c r="P13" s="567" t="s">
        <v>1009</v>
      </c>
      <c r="Q13" s="567" t="s">
        <v>1008</v>
      </c>
      <c r="R13" s="567">
        <v>80</v>
      </c>
    </row>
    <row r="14" spans="1:18" ht="15" x14ac:dyDescent="0.2">
      <c r="A14" s="567"/>
      <c r="B14" s="567"/>
      <c r="C14" s="567"/>
      <c r="D14" s="569">
        <v>0.22604166666666667</v>
      </c>
      <c r="E14" s="567">
        <v>5040</v>
      </c>
      <c r="F14" s="567" t="s">
        <v>1001</v>
      </c>
      <c r="G14" s="567" t="s">
        <v>326</v>
      </c>
      <c r="H14" s="567">
        <v>0</v>
      </c>
      <c r="I14" s="567">
        <v>39</v>
      </c>
      <c r="J14" s="567" t="s">
        <v>327</v>
      </c>
      <c r="K14" s="567" t="s">
        <v>1002</v>
      </c>
      <c r="L14" s="567" t="s">
        <v>1003</v>
      </c>
      <c r="M14" s="567" t="s">
        <v>1004</v>
      </c>
      <c r="N14" s="567" t="s">
        <v>1011</v>
      </c>
      <c r="O14" s="567" t="s">
        <v>1012</v>
      </c>
      <c r="P14" s="567" t="s">
        <v>1007</v>
      </c>
      <c r="Q14" s="567" t="s">
        <v>1008</v>
      </c>
      <c r="R14" s="567">
        <v>80</v>
      </c>
    </row>
    <row r="15" spans="1:18" ht="15" x14ac:dyDescent="0.2">
      <c r="A15" s="567"/>
      <c r="B15" s="567"/>
      <c r="C15" s="567"/>
      <c r="D15" s="569">
        <v>0.26520833333333332</v>
      </c>
      <c r="E15" s="567">
        <v>27072</v>
      </c>
      <c r="F15" s="567" t="s">
        <v>1001</v>
      </c>
      <c r="G15" s="567" t="s">
        <v>326</v>
      </c>
      <c r="H15" s="567">
        <v>0</v>
      </c>
      <c r="I15" s="567">
        <v>39</v>
      </c>
      <c r="J15" s="567" t="s">
        <v>327</v>
      </c>
      <c r="K15" s="567" t="s">
        <v>1002</v>
      </c>
      <c r="L15" s="567" t="s">
        <v>1003</v>
      </c>
      <c r="M15" s="567" t="s">
        <v>1004</v>
      </c>
      <c r="N15" s="567" t="s">
        <v>1011</v>
      </c>
      <c r="O15" s="567" t="s">
        <v>1012</v>
      </c>
      <c r="P15" s="567" t="s">
        <v>1009</v>
      </c>
      <c r="Q15" s="567" t="s">
        <v>1008</v>
      </c>
      <c r="R15" s="567">
        <v>80</v>
      </c>
    </row>
    <row r="16" spans="1:18" ht="15" x14ac:dyDescent="0.2">
      <c r="A16" s="567"/>
      <c r="B16" s="567"/>
      <c r="C16" s="567"/>
      <c r="D16" s="569">
        <v>0.26770833333333333</v>
      </c>
      <c r="E16" s="567">
        <v>1728</v>
      </c>
      <c r="F16" s="567" t="s">
        <v>1001</v>
      </c>
      <c r="G16" s="567" t="s">
        <v>326</v>
      </c>
      <c r="H16" s="567">
        <v>0</v>
      </c>
      <c r="I16" s="567">
        <v>39</v>
      </c>
      <c r="J16" s="567" t="s">
        <v>327</v>
      </c>
      <c r="K16" s="567" t="s">
        <v>329</v>
      </c>
      <c r="L16" s="567" t="s">
        <v>330</v>
      </c>
      <c r="M16" s="567" t="s">
        <v>331</v>
      </c>
      <c r="N16" s="567" t="s">
        <v>1005</v>
      </c>
      <c r="O16" s="567" t="s">
        <v>1006</v>
      </c>
      <c r="P16" s="567" t="s">
        <v>1007</v>
      </c>
      <c r="Q16" s="567" t="s">
        <v>1008</v>
      </c>
      <c r="R16" s="567">
        <v>80</v>
      </c>
    </row>
    <row r="17" spans="1:18" ht="15" x14ac:dyDescent="0.2">
      <c r="A17" s="567"/>
      <c r="B17" s="567"/>
      <c r="C17" s="567"/>
      <c r="D17" s="569">
        <v>0.28957175925925926</v>
      </c>
      <c r="E17" s="567">
        <v>15112</v>
      </c>
      <c r="F17" s="567" t="s">
        <v>1001</v>
      </c>
      <c r="G17" s="567" t="s">
        <v>326</v>
      </c>
      <c r="H17" s="567">
        <v>0</v>
      </c>
      <c r="I17" s="567">
        <v>39</v>
      </c>
      <c r="J17" s="567" t="s">
        <v>327</v>
      </c>
      <c r="K17" s="567" t="s">
        <v>329</v>
      </c>
      <c r="L17" s="567" t="s">
        <v>330</v>
      </c>
      <c r="M17" s="567" t="s">
        <v>331</v>
      </c>
      <c r="N17" s="567" t="s">
        <v>1005</v>
      </c>
      <c r="O17" s="567" t="s">
        <v>1006</v>
      </c>
      <c r="P17" s="567" t="s">
        <v>1009</v>
      </c>
      <c r="Q17" s="567" t="s">
        <v>1008</v>
      </c>
      <c r="R17" s="567">
        <v>80</v>
      </c>
    </row>
    <row r="18" spans="1:18" ht="15" x14ac:dyDescent="0.2">
      <c r="A18" s="567"/>
      <c r="B18" s="567"/>
      <c r="C18" s="567"/>
      <c r="D18" s="569">
        <v>0.28957175925925926</v>
      </c>
      <c r="E18" s="567">
        <v>0</v>
      </c>
      <c r="F18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0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8" width="7.625" style="568" bestFit="1" customWidth="1"/>
    <col min="9" max="9" width="5" style="568" bestFit="1" customWidth="1"/>
    <col min="10" max="10" width="8.375" style="568" bestFit="1" customWidth="1"/>
    <col min="11" max="11" width="18.75" style="568" bestFit="1" customWidth="1"/>
    <col min="12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4" width="7.625" style="568" bestFit="1" customWidth="1"/>
    <col min="265" max="265" width="5" style="568" bestFit="1" customWidth="1"/>
    <col min="266" max="266" width="8.375" style="568" bestFit="1" customWidth="1"/>
    <col min="267" max="267" width="18.75" style="568" bestFit="1" customWidth="1"/>
    <col min="268" max="269" width="8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20" width="7.625" style="568" bestFit="1" customWidth="1"/>
    <col min="521" max="521" width="5" style="568" bestFit="1" customWidth="1"/>
    <col min="522" max="522" width="8.375" style="568" bestFit="1" customWidth="1"/>
    <col min="523" max="523" width="18.75" style="568" bestFit="1" customWidth="1"/>
    <col min="524" max="525" width="8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6" width="7.625" style="568" bestFit="1" customWidth="1"/>
    <col min="777" max="777" width="5" style="568" bestFit="1" customWidth="1"/>
    <col min="778" max="778" width="8.375" style="568" bestFit="1" customWidth="1"/>
    <col min="779" max="779" width="18.75" style="568" bestFit="1" customWidth="1"/>
    <col min="780" max="781" width="8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2" width="7.625" style="568" bestFit="1" customWidth="1"/>
    <col min="1033" max="1033" width="5" style="568" bestFit="1" customWidth="1"/>
    <col min="1034" max="1034" width="8.375" style="568" bestFit="1" customWidth="1"/>
    <col min="1035" max="1035" width="18.75" style="568" bestFit="1" customWidth="1"/>
    <col min="1036" max="1037" width="8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8" width="7.625" style="568" bestFit="1" customWidth="1"/>
    <col min="1289" max="1289" width="5" style="568" bestFit="1" customWidth="1"/>
    <col min="1290" max="1290" width="8.375" style="568" bestFit="1" customWidth="1"/>
    <col min="1291" max="1291" width="18.75" style="568" bestFit="1" customWidth="1"/>
    <col min="1292" max="1293" width="8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4" width="7.625" style="568" bestFit="1" customWidth="1"/>
    <col min="1545" max="1545" width="5" style="568" bestFit="1" customWidth="1"/>
    <col min="1546" max="1546" width="8.375" style="568" bestFit="1" customWidth="1"/>
    <col min="1547" max="1547" width="18.75" style="568" bestFit="1" customWidth="1"/>
    <col min="1548" max="1549" width="8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800" width="7.625" style="568" bestFit="1" customWidth="1"/>
    <col min="1801" max="1801" width="5" style="568" bestFit="1" customWidth="1"/>
    <col min="1802" max="1802" width="8.375" style="568" bestFit="1" customWidth="1"/>
    <col min="1803" max="1803" width="18.75" style="568" bestFit="1" customWidth="1"/>
    <col min="1804" max="1805" width="8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6" width="7.625" style="568" bestFit="1" customWidth="1"/>
    <col min="2057" max="2057" width="5" style="568" bestFit="1" customWidth="1"/>
    <col min="2058" max="2058" width="8.375" style="568" bestFit="1" customWidth="1"/>
    <col min="2059" max="2059" width="18.75" style="568" bestFit="1" customWidth="1"/>
    <col min="2060" max="2061" width="8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2" width="7.625" style="568" bestFit="1" customWidth="1"/>
    <col min="2313" max="2313" width="5" style="568" bestFit="1" customWidth="1"/>
    <col min="2314" max="2314" width="8.375" style="568" bestFit="1" customWidth="1"/>
    <col min="2315" max="2315" width="18.75" style="568" bestFit="1" customWidth="1"/>
    <col min="2316" max="2317" width="8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8" width="7.625" style="568" bestFit="1" customWidth="1"/>
    <col min="2569" max="2569" width="5" style="568" bestFit="1" customWidth="1"/>
    <col min="2570" max="2570" width="8.375" style="568" bestFit="1" customWidth="1"/>
    <col min="2571" max="2571" width="18.75" style="568" bestFit="1" customWidth="1"/>
    <col min="2572" max="2573" width="8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4" width="7.625" style="568" bestFit="1" customWidth="1"/>
    <col min="2825" max="2825" width="5" style="568" bestFit="1" customWidth="1"/>
    <col min="2826" max="2826" width="8.375" style="568" bestFit="1" customWidth="1"/>
    <col min="2827" max="2827" width="18.75" style="568" bestFit="1" customWidth="1"/>
    <col min="2828" max="2829" width="8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80" width="7.625" style="568" bestFit="1" customWidth="1"/>
    <col min="3081" max="3081" width="5" style="568" bestFit="1" customWidth="1"/>
    <col min="3082" max="3082" width="8.375" style="568" bestFit="1" customWidth="1"/>
    <col min="3083" max="3083" width="18.75" style="568" bestFit="1" customWidth="1"/>
    <col min="3084" max="3085" width="8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6" width="7.625" style="568" bestFit="1" customWidth="1"/>
    <col min="3337" max="3337" width="5" style="568" bestFit="1" customWidth="1"/>
    <col min="3338" max="3338" width="8.375" style="568" bestFit="1" customWidth="1"/>
    <col min="3339" max="3339" width="18.75" style="568" bestFit="1" customWidth="1"/>
    <col min="3340" max="3341" width="8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2" width="7.625" style="568" bestFit="1" customWidth="1"/>
    <col min="3593" max="3593" width="5" style="568" bestFit="1" customWidth="1"/>
    <col min="3594" max="3594" width="8.375" style="568" bestFit="1" customWidth="1"/>
    <col min="3595" max="3595" width="18.75" style="568" bestFit="1" customWidth="1"/>
    <col min="3596" max="3597" width="8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8" width="7.625" style="568" bestFit="1" customWidth="1"/>
    <col min="3849" max="3849" width="5" style="568" bestFit="1" customWidth="1"/>
    <col min="3850" max="3850" width="8.375" style="568" bestFit="1" customWidth="1"/>
    <col min="3851" max="3851" width="18.75" style="568" bestFit="1" customWidth="1"/>
    <col min="3852" max="3853" width="8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4" width="7.625" style="568" bestFit="1" customWidth="1"/>
    <col min="4105" max="4105" width="5" style="568" bestFit="1" customWidth="1"/>
    <col min="4106" max="4106" width="8.375" style="568" bestFit="1" customWidth="1"/>
    <col min="4107" max="4107" width="18.75" style="568" bestFit="1" customWidth="1"/>
    <col min="4108" max="4109" width="8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60" width="7.625" style="568" bestFit="1" customWidth="1"/>
    <col min="4361" max="4361" width="5" style="568" bestFit="1" customWidth="1"/>
    <col min="4362" max="4362" width="8.375" style="568" bestFit="1" customWidth="1"/>
    <col min="4363" max="4363" width="18.75" style="568" bestFit="1" customWidth="1"/>
    <col min="4364" max="4365" width="8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6" width="7.625" style="568" bestFit="1" customWidth="1"/>
    <col min="4617" max="4617" width="5" style="568" bestFit="1" customWidth="1"/>
    <col min="4618" max="4618" width="8.375" style="568" bestFit="1" customWidth="1"/>
    <col min="4619" max="4619" width="18.75" style="568" bestFit="1" customWidth="1"/>
    <col min="4620" max="4621" width="8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2" width="7.625" style="568" bestFit="1" customWidth="1"/>
    <col min="4873" max="4873" width="5" style="568" bestFit="1" customWidth="1"/>
    <col min="4874" max="4874" width="8.375" style="568" bestFit="1" customWidth="1"/>
    <col min="4875" max="4875" width="18.75" style="568" bestFit="1" customWidth="1"/>
    <col min="4876" max="4877" width="8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8" width="7.625" style="568" bestFit="1" customWidth="1"/>
    <col min="5129" max="5129" width="5" style="568" bestFit="1" customWidth="1"/>
    <col min="5130" max="5130" width="8.375" style="568" bestFit="1" customWidth="1"/>
    <col min="5131" max="5131" width="18.75" style="568" bestFit="1" customWidth="1"/>
    <col min="5132" max="5133" width="8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4" width="7.625" style="568" bestFit="1" customWidth="1"/>
    <col min="5385" max="5385" width="5" style="568" bestFit="1" customWidth="1"/>
    <col min="5386" max="5386" width="8.375" style="568" bestFit="1" customWidth="1"/>
    <col min="5387" max="5387" width="18.75" style="568" bestFit="1" customWidth="1"/>
    <col min="5388" max="5389" width="8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40" width="7.625" style="568" bestFit="1" customWidth="1"/>
    <col min="5641" max="5641" width="5" style="568" bestFit="1" customWidth="1"/>
    <col min="5642" max="5642" width="8.375" style="568" bestFit="1" customWidth="1"/>
    <col min="5643" max="5643" width="18.75" style="568" bestFit="1" customWidth="1"/>
    <col min="5644" max="5645" width="8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6" width="7.625" style="568" bestFit="1" customWidth="1"/>
    <col min="5897" max="5897" width="5" style="568" bestFit="1" customWidth="1"/>
    <col min="5898" max="5898" width="8.375" style="568" bestFit="1" customWidth="1"/>
    <col min="5899" max="5899" width="18.75" style="568" bestFit="1" customWidth="1"/>
    <col min="5900" max="5901" width="8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2" width="7.625" style="568" bestFit="1" customWidth="1"/>
    <col min="6153" max="6153" width="5" style="568" bestFit="1" customWidth="1"/>
    <col min="6154" max="6154" width="8.375" style="568" bestFit="1" customWidth="1"/>
    <col min="6155" max="6155" width="18.75" style="568" bestFit="1" customWidth="1"/>
    <col min="6156" max="6157" width="8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8" width="7.625" style="568" bestFit="1" customWidth="1"/>
    <col min="6409" max="6409" width="5" style="568" bestFit="1" customWidth="1"/>
    <col min="6410" max="6410" width="8.375" style="568" bestFit="1" customWidth="1"/>
    <col min="6411" max="6411" width="18.75" style="568" bestFit="1" customWidth="1"/>
    <col min="6412" max="6413" width="8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4" width="7.625" style="568" bestFit="1" customWidth="1"/>
    <col min="6665" max="6665" width="5" style="568" bestFit="1" customWidth="1"/>
    <col min="6666" max="6666" width="8.375" style="568" bestFit="1" customWidth="1"/>
    <col min="6667" max="6667" width="18.75" style="568" bestFit="1" customWidth="1"/>
    <col min="6668" max="6669" width="8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20" width="7.625" style="568" bestFit="1" customWidth="1"/>
    <col min="6921" max="6921" width="5" style="568" bestFit="1" customWidth="1"/>
    <col min="6922" max="6922" width="8.375" style="568" bestFit="1" customWidth="1"/>
    <col min="6923" max="6923" width="18.75" style="568" bestFit="1" customWidth="1"/>
    <col min="6924" max="6925" width="8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6" width="7.625" style="568" bestFit="1" customWidth="1"/>
    <col min="7177" max="7177" width="5" style="568" bestFit="1" customWidth="1"/>
    <col min="7178" max="7178" width="8.375" style="568" bestFit="1" customWidth="1"/>
    <col min="7179" max="7179" width="18.75" style="568" bestFit="1" customWidth="1"/>
    <col min="7180" max="7181" width="8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2" width="7.625" style="568" bestFit="1" customWidth="1"/>
    <col min="7433" max="7433" width="5" style="568" bestFit="1" customWidth="1"/>
    <col min="7434" max="7434" width="8.375" style="568" bestFit="1" customWidth="1"/>
    <col min="7435" max="7435" width="18.75" style="568" bestFit="1" customWidth="1"/>
    <col min="7436" max="7437" width="8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8" width="7.625" style="568" bestFit="1" customWidth="1"/>
    <col min="7689" max="7689" width="5" style="568" bestFit="1" customWidth="1"/>
    <col min="7690" max="7690" width="8.375" style="568" bestFit="1" customWidth="1"/>
    <col min="7691" max="7691" width="18.75" style="568" bestFit="1" customWidth="1"/>
    <col min="7692" max="7693" width="8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4" width="7.625" style="568" bestFit="1" customWidth="1"/>
    <col min="7945" max="7945" width="5" style="568" bestFit="1" customWidth="1"/>
    <col min="7946" max="7946" width="8.375" style="568" bestFit="1" customWidth="1"/>
    <col min="7947" max="7947" width="18.75" style="568" bestFit="1" customWidth="1"/>
    <col min="7948" max="7949" width="8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200" width="7.625" style="568" bestFit="1" customWidth="1"/>
    <col min="8201" max="8201" width="5" style="568" bestFit="1" customWidth="1"/>
    <col min="8202" max="8202" width="8.375" style="568" bestFit="1" customWidth="1"/>
    <col min="8203" max="8203" width="18.75" style="568" bestFit="1" customWidth="1"/>
    <col min="8204" max="8205" width="8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6" width="7.625" style="568" bestFit="1" customWidth="1"/>
    <col min="8457" max="8457" width="5" style="568" bestFit="1" customWidth="1"/>
    <col min="8458" max="8458" width="8.375" style="568" bestFit="1" customWidth="1"/>
    <col min="8459" max="8459" width="18.75" style="568" bestFit="1" customWidth="1"/>
    <col min="8460" max="8461" width="8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2" width="7.625" style="568" bestFit="1" customWidth="1"/>
    <col min="8713" max="8713" width="5" style="568" bestFit="1" customWidth="1"/>
    <col min="8714" max="8714" width="8.375" style="568" bestFit="1" customWidth="1"/>
    <col min="8715" max="8715" width="18.75" style="568" bestFit="1" customWidth="1"/>
    <col min="8716" max="8717" width="8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8" width="7.625" style="568" bestFit="1" customWidth="1"/>
    <col min="8969" max="8969" width="5" style="568" bestFit="1" customWidth="1"/>
    <col min="8970" max="8970" width="8.375" style="568" bestFit="1" customWidth="1"/>
    <col min="8971" max="8971" width="18.75" style="568" bestFit="1" customWidth="1"/>
    <col min="8972" max="8973" width="8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4" width="7.625" style="568" bestFit="1" customWidth="1"/>
    <col min="9225" max="9225" width="5" style="568" bestFit="1" customWidth="1"/>
    <col min="9226" max="9226" width="8.375" style="568" bestFit="1" customWidth="1"/>
    <col min="9227" max="9227" width="18.75" style="568" bestFit="1" customWidth="1"/>
    <col min="9228" max="9229" width="8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80" width="7.625" style="568" bestFit="1" customWidth="1"/>
    <col min="9481" max="9481" width="5" style="568" bestFit="1" customWidth="1"/>
    <col min="9482" max="9482" width="8.375" style="568" bestFit="1" customWidth="1"/>
    <col min="9483" max="9483" width="18.75" style="568" bestFit="1" customWidth="1"/>
    <col min="9484" max="9485" width="8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6" width="7.625" style="568" bestFit="1" customWidth="1"/>
    <col min="9737" max="9737" width="5" style="568" bestFit="1" customWidth="1"/>
    <col min="9738" max="9738" width="8.375" style="568" bestFit="1" customWidth="1"/>
    <col min="9739" max="9739" width="18.75" style="568" bestFit="1" customWidth="1"/>
    <col min="9740" max="9741" width="8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2" width="7.625" style="568" bestFit="1" customWidth="1"/>
    <col min="9993" max="9993" width="5" style="568" bestFit="1" customWidth="1"/>
    <col min="9994" max="9994" width="8.375" style="568" bestFit="1" customWidth="1"/>
    <col min="9995" max="9995" width="18.75" style="568" bestFit="1" customWidth="1"/>
    <col min="9996" max="9997" width="8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8" width="7.625" style="568" bestFit="1" customWidth="1"/>
    <col min="10249" max="10249" width="5" style="568" bestFit="1" customWidth="1"/>
    <col min="10250" max="10250" width="8.375" style="568" bestFit="1" customWidth="1"/>
    <col min="10251" max="10251" width="18.75" style="568" bestFit="1" customWidth="1"/>
    <col min="10252" max="10253" width="8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4" width="7.625" style="568" bestFit="1" customWidth="1"/>
    <col min="10505" max="10505" width="5" style="568" bestFit="1" customWidth="1"/>
    <col min="10506" max="10506" width="8.375" style="568" bestFit="1" customWidth="1"/>
    <col min="10507" max="10507" width="18.75" style="568" bestFit="1" customWidth="1"/>
    <col min="10508" max="10509" width="8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60" width="7.625" style="568" bestFit="1" customWidth="1"/>
    <col min="10761" max="10761" width="5" style="568" bestFit="1" customWidth="1"/>
    <col min="10762" max="10762" width="8.375" style="568" bestFit="1" customWidth="1"/>
    <col min="10763" max="10763" width="18.75" style="568" bestFit="1" customWidth="1"/>
    <col min="10764" max="10765" width="8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6" width="7.625" style="568" bestFit="1" customWidth="1"/>
    <col min="11017" max="11017" width="5" style="568" bestFit="1" customWidth="1"/>
    <col min="11018" max="11018" width="8.375" style="568" bestFit="1" customWidth="1"/>
    <col min="11019" max="11019" width="18.75" style="568" bestFit="1" customWidth="1"/>
    <col min="11020" max="11021" width="8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2" width="7.625" style="568" bestFit="1" customWidth="1"/>
    <col min="11273" max="11273" width="5" style="568" bestFit="1" customWidth="1"/>
    <col min="11274" max="11274" width="8.375" style="568" bestFit="1" customWidth="1"/>
    <col min="11275" max="11275" width="18.75" style="568" bestFit="1" customWidth="1"/>
    <col min="11276" max="11277" width="8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8" width="7.625" style="568" bestFit="1" customWidth="1"/>
    <col min="11529" max="11529" width="5" style="568" bestFit="1" customWidth="1"/>
    <col min="11530" max="11530" width="8.375" style="568" bestFit="1" customWidth="1"/>
    <col min="11531" max="11531" width="18.75" style="568" bestFit="1" customWidth="1"/>
    <col min="11532" max="11533" width="8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4" width="7.625" style="568" bestFit="1" customWidth="1"/>
    <col min="11785" max="11785" width="5" style="568" bestFit="1" customWidth="1"/>
    <col min="11786" max="11786" width="8.375" style="568" bestFit="1" customWidth="1"/>
    <col min="11787" max="11787" width="18.75" style="568" bestFit="1" customWidth="1"/>
    <col min="11788" max="11789" width="8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40" width="7.625" style="568" bestFit="1" customWidth="1"/>
    <col min="12041" max="12041" width="5" style="568" bestFit="1" customWidth="1"/>
    <col min="12042" max="12042" width="8.375" style="568" bestFit="1" customWidth="1"/>
    <col min="12043" max="12043" width="18.75" style="568" bestFit="1" customWidth="1"/>
    <col min="12044" max="12045" width="8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6" width="7.625" style="568" bestFit="1" customWidth="1"/>
    <col min="12297" max="12297" width="5" style="568" bestFit="1" customWidth="1"/>
    <col min="12298" max="12298" width="8.375" style="568" bestFit="1" customWidth="1"/>
    <col min="12299" max="12299" width="18.75" style="568" bestFit="1" customWidth="1"/>
    <col min="12300" max="12301" width="8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2" width="7.625" style="568" bestFit="1" customWidth="1"/>
    <col min="12553" max="12553" width="5" style="568" bestFit="1" customWidth="1"/>
    <col min="12554" max="12554" width="8.375" style="568" bestFit="1" customWidth="1"/>
    <col min="12555" max="12555" width="18.75" style="568" bestFit="1" customWidth="1"/>
    <col min="12556" max="12557" width="8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8" width="7.625" style="568" bestFit="1" customWidth="1"/>
    <col min="12809" max="12809" width="5" style="568" bestFit="1" customWidth="1"/>
    <col min="12810" max="12810" width="8.375" style="568" bestFit="1" customWidth="1"/>
    <col min="12811" max="12811" width="18.75" style="568" bestFit="1" customWidth="1"/>
    <col min="12812" max="12813" width="8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4" width="7.625" style="568" bestFit="1" customWidth="1"/>
    <col min="13065" max="13065" width="5" style="568" bestFit="1" customWidth="1"/>
    <col min="13066" max="13066" width="8.375" style="568" bestFit="1" customWidth="1"/>
    <col min="13067" max="13067" width="18.75" style="568" bestFit="1" customWidth="1"/>
    <col min="13068" max="13069" width="8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20" width="7.625" style="568" bestFit="1" customWidth="1"/>
    <col min="13321" max="13321" width="5" style="568" bestFit="1" customWidth="1"/>
    <col min="13322" max="13322" width="8.375" style="568" bestFit="1" customWidth="1"/>
    <col min="13323" max="13323" width="18.75" style="568" bestFit="1" customWidth="1"/>
    <col min="13324" max="13325" width="8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6" width="7.625" style="568" bestFit="1" customWidth="1"/>
    <col min="13577" max="13577" width="5" style="568" bestFit="1" customWidth="1"/>
    <col min="13578" max="13578" width="8.375" style="568" bestFit="1" customWidth="1"/>
    <col min="13579" max="13579" width="18.75" style="568" bestFit="1" customWidth="1"/>
    <col min="13580" max="13581" width="8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2" width="7.625" style="568" bestFit="1" customWidth="1"/>
    <col min="13833" max="13833" width="5" style="568" bestFit="1" customWidth="1"/>
    <col min="13834" max="13834" width="8.375" style="568" bestFit="1" customWidth="1"/>
    <col min="13835" max="13835" width="18.75" style="568" bestFit="1" customWidth="1"/>
    <col min="13836" max="13837" width="8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8" width="7.625" style="568" bestFit="1" customWidth="1"/>
    <col min="14089" max="14089" width="5" style="568" bestFit="1" customWidth="1"/>
    <col min="14090" max="14090" width="8.375" style="568" bestFit="1" customWidth="1"/>
    <col min="14091" max="14091" width="18.75" style="568" bestFit="1" customWidth="1"/>
    <col min="14092" max="14093" width="8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4" width="7.625" style="568" bestFit="1" customWidth="1"/>
    <col min="14345" max="14345" width="5" style="568" bestFit="1" customWidth="1"/>
    <col min="14346" max="14346" width="8.375" style="568" bestFit="1" customWidth="1"/>
    <col min="14347" max="14347" width="18.75" style="568" bestFit="1" customWidth="1"/>
    <col min="14348" max="14349" width="8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600" width="7.625" style="568" bestFit="1" customWidth="1"/>
    <col min="14601" max="14601" width="5" style="568" bestFit="1" customWidth="1"/>
    <col min="14602" max="14602" width="8.375" style="568" bestFit="1" customWidth="1"/>
    <col min="14603" max="14603" width="18.75" style="568" bestFit="1" customWidth="1"/>
    <col min="14604" max="14605" width="8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6" width="7.625" style="568" bestFit="1" customWidth="1"/>
    <col min="14857" max="14857" width="5" style="568" bestFit="1" customWidth="1"/>
    <col min="14858" max="14858" width="8.375" style="568" bestFit="1" customWidth="1"/>
    <col min="14859" max="14859" width="18.75" style="568" bestFit="1" customWidth="1"/>
    <col min="14860" max="14861" width="8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2" width="7.625" style="568" bestFit="1" customWidth="1"/>
    <col min="15113" max="15113" width="5" style="568" bestFit="1" customWidth="1"/>
    <col min="15114" max="15114" width="8.375" style="568" bestFit="1" customWidth="1"/>
    <col min="15115" max="15115" width="18.75" style="568" bestFit="1" customWidth="1"/>
    <col min="15116" max="15117" width="8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8" width="7.625" style="568" bestFit="1" customWidth="1"/>
    <col min="15369" max="15369" width="5" style="568" bestFit="1" customWidth="1"/>
    <col min="15370" max="15370" width="8.375" style="568" bestFit="1" customWidth="1"/>
    <col min="15371" max="15371" width="18.75" style="568" bestFit="1" customWidth="1"/>
    <col min="15372" max="15373" width="8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4" width="7.625" style="568" bestFit="1" customWidth="1"/>
    <col min="15625" max="15625" width="5" style="568" bestFit="1" customWidth="1"/>
    <col min="15626" max="15626" width="8.375" style="568" bestFit="1" customWidth="1"/>
    <col min="15627" max="15627" width="18.75" style="568" bestFit="1" customWidth="1"/>
    <col min="15628" max="15629" width="8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80" width="7.625" style="568" bestFit="1" customWidth="1"/>
    <col min="15881" max="15881" width="5" style="568" bestFit="1" customWidth="1"/>
    <col min="15882" max="15882" width="8.375" style="568" bestFit="1" customWidth="1"/>
    <col min="15883" max="15883" width="18.75" style="568" bestFit="1" customWidth="1"/>
    <col min="15884" max="15885" width="8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6" width="7.625" style="568" bestFit="1" customWidth="1"/>
    <col min="16137" max="16137" width="5" style="568" bestFit="1" customWidth="1"/>
    <col min="16138" max="16138" width="8.375" style="568" bestFit="1" customWidth="1"/>
    <col min="16139" max="16139" width="18.75" style="568" bestFit="1" customWidth="1"/>
    <col min="16140" max="16141" width="8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776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401</v>
      </c>
      <c r="J9" s="567" t="s">
        <v>327</v>
      </c>
      <c r="K9" s="567" t="s">
        <v>1002</v>
      </c>
      <c r="L9" s="567" t="s">
        <v>1003</v>
      </c>
      <c r="M9" s="567" t="s">
        <v>1004</v>
      </c>
      <c r="N9" s="567" t="s">
        <v>1011</v>
      </c>
      <c r="O9" s="567" t="s">
        <v>1012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0.15209490740740741</v>
      </c>
      <c r="E10" s="567">
        <v>105128</v>
      </c>
      <c r="F10" s="567" t="s">
        <v>1001</v>
      </c>
      <c r="G10" s="567" t="s">
        <v>326</v>
      </c>
      <c r="H10" s="567">
        <v>0</v>
      </c>
      <c r="I10" s="567">
        <v>401</v>
      </c>
      <c r="J10" s="567" t="s">
        <v>327</v>
      </c>
      <c r="K10" s="567" t="s">
        <v>1002</v>
      </c>
      <c r="L10" s="567" t="s">
        <v>1003</v>
      </c>
      <c r="M10" s="567" t="s">
        <v>1004</v>
      </c>
      <c r="N10" s="567" t="s">
        <v>1011</v>
      </c>
      <c r="O10" s="567" t="s">
        <v>1012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0.16180555555555556</v>
      </c>
      <c r="E11" s="567">
        <v>6712</v>
      </c>
      <c r="F11" s="567" t="s">
        <v>335</v>
      </c>
      <c r="G11" s="567">
        <v>0</v>
      </c>
      <c r="H11" s="567" t="s">
        <v>326</v>
      </c>
      <c r="I11" s="567" t="s">
        <v>336</v>
      </c>
      <c r="J11" s="567">
        <v>0</v>
      </c>
      <c r="K11" s="567" t="s">
        <v>337</v>
      </c>
      <c r="L11" s="567">
        <v>45</v>
      </c>
      <c r="M11" s="567">
        <v>1</v>
      </c>
    </row>
    <row r="12" spans="1:18" ht="15" x14ac:dyDescent="0.2">
      <c r="A12" s="567"/>
      <c r="B12" s="567"/>
      <c r="C12" s="567"/>
      <c r="D12" s="569">
        <v>0.16527777777777777</v>
      </c>
      <c r="E12" s="567">
        <v>0</v>
      </c>
      <c r="F12" s="567" t="s">
        <v>1001</v>
      </c>
      <c r="G12" s="567" t="s">
        <v>326</v>
      </c>
      <c r="H12" s="567">
        <v>0</v>
      </c>
      <c r="I12" s="567">
        <v>97</v>
      </c>
      <c r="J12" s="567" t="s">
        <v>1010</v>
      </c>
      <c r="K12" s="567" t="s">
        <v>1002</v>
      </c>
      <c r="L12" s="567" t="s">
        <v>1003</v>
      </c>
      <c r="M12" s="567" t="s">
        <v>1004</v>
      </c>
      <c r="N12" s="567" t="s">
        <v>1011</v>
      </c>
      <c r="O12" s="567" t="s">
        <v>1012</v>
      </c>
      <c r="P12" s="567" t="s">
        <v>1007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0.2240277777777778</v>
      </c>
      <c r="E13" s="567">
        <v>40608</v>
      </c>
      <c r="F13" s="567" t="s">
        <v>1001</v>
      </c>
      <c r="G13" s="567" t="s">
        <v>326</v>
      </c>
      <c r="H13" s="567">
        <v>0</v>
      </c>
      <c r="I13" s="567">
        <v>97</v>
      </c>
      <c r="J13" s="567" t="s">
        <v>1010</v>
      </c>
      <c r="K13" s="567" t="s">
        <v>1002</v>
      </c>
      <c r="L13" s="567" t="s">
        <v>1003</v>
      </c>
      <c r="M13" s="567" t="s">
        <v>1004</v>
      </c>
      <c r="N13" s="567" t="s">
        <v>1011</v>
      </c>
      <c r="O13" s="567" t="s">
        <v>1012</v>
      </c>
      <c r="P13" s="567" t="s">
        <v>1009</v>
      </c>
      <c r="Q13" s="567" t="s">
        <v>1008</v>
      </c>
      <c r="R13" s="567">
        <v>80</v>
      </c>
    </row>
    <row r="14" spans="1:18" ht="15" x14ac:dyDescent="0.2">
      <c r="A14" s="567"/>
      <c r="B14" s="567"/>
      <c r="C14" s="567"/>
      <c r="D14" s="569">
        <v>0.22777777777777777</v>
      </c>
      <c r="E14" s="567">
        <v>2592</v>
      </c>
      <c r="F14" s="567" t="s">
        <v>1001</v>
      </c>
      <c r="G14" s="567" t="s">
        <v>326</v>
      </c>
      <c r="H14" s="567">
        <v>0</v>
      </c>
      <c r="I14" s="567">
        <v>401</v>
      </c>
      <c r="J14" s="567" t="s">
        <v>1010</v>
      </c>
      <c r="K14" s="567" t="s">
        <v>1002</v>
      </c>
      <c r="L14" s="567" t="s">
        <v>1003</v>
      </c>
      <c r="M14" s="567" t="s">
        <v>1004</v>
      </c>
      <c r="N14" s="567" t="s">
        <v>1005</v>
      </c>
      <c r="O14" s="567" t="s">
        <v>1006</v>
      </c>
      <c r="P14" s="567" t="s">
        <v>1007</v>
      </c>
      <c r="Q14" s="567" t="s">
        <v>1008</v>
      </c>
      <c r="R14" s="567">
        <v>80</v>
      </c>
    </row>
    <row r="15" spans="1:18" ht="15" x14ac:dyDescent="0.2">
      <c r="A15" s="567"/>
      <c r="B15" s="567"/>
      <c r="C15" s="567"/>
      <c r="D15" s="569">
        <v>0.36812500000000004</v>
      </c>
      <c r="E15" s="567">
        <v>97008</v>
      </c>
      <c r="F15" s="567" t="s">
        <v>1001</v>
      </c>
      <c r="G15" s="567" t="s">
        <v>326</v>
      </c>
      <c r="H15" s="567">
        <v>0</v>
      </c>
      <c r="I15" s="567">
        <v>401</v>
      </c>
      <c r="J15" s="567" t="s">
        <v>1010</v>
      </c>
      <c r="K15" s="567" t="s">
        <v>1002</v>
      </c>
      <c r="L15" s="567" t="s">
        <v>1003</v>
      </c>
      <c r="M15" s="567" t="s">
        <v>1004</v>
      </c>
      <c r="N15" s="567" t="s">
        <v>1005</v>
      </c>
      <c r="O15" s="567" t="s">
        <v>1006</v>
      </c>
      <c r="P15" s="567" t="s">
        <v>1009</v>
      </c>
      <c r="Q15" s="567" t="s">
        <v>1008</v>
      </c>
      <c r="R15" s="567">
        <v>80</v>
      </c>
    </row>
    <row r="16" spans="1:18" ht="15" x14ac:dyDescent="0.2">
      <c r="A16" s="567"/>
      <c r="B16" s="567"/>
      <c r="C16" s="567"/>
      <c r="D16" s="569">
        <v>0.37708333333333338</v>
      </c>
      <c r="E16" s="567">
        <v>6192</v>
      </c>
      <c r="F16" s="567" t="s">
        <v>1001</v>
      </c>
      <c r="G16" s="567" t="s">
        <v>326</v>
      </c>
      <c r="H16" s="567">
        <v>0</v>
      </c>
      <c r="I16" s="567">
        <v>401</v>
      </c>
      <c r="J16" s="567" t="s">
        <v>327</v>
      </c>
      <c r="K16" s="567" t="s">
        <v>1002</v>
      </c>
      <c r="L16" s="567" t="s">
        <v>1003</v>
      </c>
      <c r="M16" s="567" t="s">
        <v>1004</v>
      </c>
      <c r="N16" s="567" t="s">
        <v>1011</v>
      </c>
      <c r="O16" s="567" t="s">
        <v>1012</v>
      </c>
      <c r="P16" s="567" t="s">
        <v>1007</v>
      </c>
      <c r="Q16" s="567" t="s">
        <v>1008</v>
      </c>
      <c r="R16" s="567">
        <v>80</v>
      </c>
    </row>
    <row r="17" spans="1:18" ht="15" x14ac:dyDescent="0.2">
      <c r="A17" s="567"/>
      <c r="B17" s="567"/>
      <c r="C17" s="567"/>
      <c r="D17" s="569">
        <v>0.4244560185185185</v>
      </c>
      <c r="E17" s="567">
        <v>32744</v>
      </c>
      <c r="F17" s="567" t="s">
        <v>1001</v>
      </c>
      <c r="G17" s="567" t="s">
        <v>326</v>
      </c>
      <c r="H17" s="567">
        <v>0</v>
      </c>
      <c r="I17" s="567">
        <v>401</v>
      </c>
      <c r="J17" s="567" t="s">
        <v>327</v>
      </c>
      <c r="K17" s="567" t="s">
        <v>1002</v>
      </c>
      <c r="L17" s="567" t="s">
        <v>1003</v>
      </c>
      <c r="M17" s="567" t="s">
        <v>1004</v>
      </c>
      <c r="N17" s="567" t="s">
        <v>1011</v>
      </c>
      <c r="O17" s="567" t="s">
        <v>1012</v>
      </c>
      <c r="P17" s="567" t="s">
        <v>1009</v>
      </c>
      <c r="Q17" s="567" t="s">
        <v>1008</v>
      </c>
      <c r="R17" s="567">
        <v>80</v>
      </c>
    </row>
    <row r="18" spans="1:18" ht="15" x14ac:dyDescent="0.2">
      <c r="A18" s="567"/>
      <c r="B18" s="567"/>
      <c r="C18" s="567"/>
      <c r="D18" s="569">
        <v>0.42986111111111108</v>
      </c>
      <c r="E18" s="567">
        <v>3736</v>
      </c>
      <c r="F18" s="567" t="s">
        <v>1001</v>
      </c>
      <c r="G18" s="567" t="s">
        <v>326</v>
      </c>
      <c r="H18" s="567">
        <v>0</v>
      </c>
      <c r="I18" s="567">
        <v>401</v>
      </c>
      <c r="J18" s="567" t="s">
        <v>1010</v>
      </c>
      <c r="K18" s="567" t="s">
        <v>1002</v>
      </c>
      <c r="L18" s="567" t="s">
        <v>1003</v>
      </c>
      <c r="M18" s="567" t="s">
        <v>1004</v>
      </c>
      <c r="N18" s="567" t="s">
        <v>1005</v>
      </c>
      <c r="O18" s="567" t="s">
        <v>1006</v>
      </c>
      <c r="P18" s="567" t="s">
        <v>1007</v>
      </c>
      <c r="Q18" s="567" t="s">
        <v>1008</v>
      </c>
      <c r="R18" s="567">
        <v>80</v>
      </c>
    </row>
    <row r="19" spans="1:18" ht="15" x14ac:dyDescent="0.2">
      <c r="A19" s="567"/>
      <c r="B19" s="567"/>
      <c r="C19" s="567"/>
      <c r="D19" s="569">
        <v>0.49332175925925931</v>
      </c>
      <c r="E19" s="567">
        <v>43864</v>
      </c>
      <c r="F19" s="567" t="s">
        <v>1001</v>
      </c>
      <c r="G19" s="567" t="s">
        <v>326</v>
      </c>
      <c r="H19" s="567">
        <v>0</v>
      </c>
      <c r="I19" s="567">
        <v>401</v>
      </c>
      <c r="J19" s="567" t="s">
        <v>1010</v>
      </c>
      <c r="K19" s="567" t="s">
        <v>1002</v>
      </c>
      <c r="L19" s="567" t="s">
        <v>1003</v>
      </c>
      <c r="M19" s="567" t="s">
        <v>1004</v>
      </c>
      <c r="N19" s="567" t="s">
        <v>1005</v>
      </c>
      <c r="O19" s="567" t="s">
        <v>1006</v>
      </c>
      <c r="P19" s="567" t="s">
        <v>1009</v>
      </c>
      <c r="Q19" s="567" t="s">
        <v>1008</v>
      </c>
      <c r="R19" s="567">
        <v>80</v>
      </c>
    </row>
    <row r="20" spans="1:18" ht="15" x14ac:dyDescent="0.2">
      <c r="A20" s="567"/>
      <c r="B20" s="567"/>
      <c r="C20" s="567"/>
      <c r="D20" s="569">
        <v>0.49332175925925931</v>
      </c>
      <c r="E20" s="567">
        <v>0</v>
      </c>
      <c r="F20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6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8" width="7.625" style="568" bestFit="1" customWidth="1"/>
    <col min="9" max="9" width="5" style="568" bestFit="1" customWidth="1"/>
    <col min="10" max="10" width="8.375" style="568" bestFit="1" customWidth="1"/>
    <col min="11" max="11" width="18.75" style="568" bestFit="1" customWidth="1"/>
    <col min="12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4" width="7.625" style="568" bestFit="1" customWidth="1"/>
    <col min="265" max="265" width="5" style="568" bestFit="1" customWidth="1"/>
    <col min="266" max="266" width="8.375" style="568" bestFit="1" customWidth="1"/>
    <col min="267" max="267" width="18.75" style="568" bestFit="1" customWidth="1"/>
    <col min="268" max="269" width="8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20" width="7.625" style="568" bestFit="1" customWidth="1"/>
    <col min="521" max="521" width="5" style="568" bestFit="1" customWidth="1"/>
    <col min="522" max="522" width="8.375" style="568" bestFit="1" customWidth="1"/>
    <col min="523" max="523" width="18.75" style="568" bestFit="1" customWidth="1"/>
    <col min="524" max="525" width="8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6" width="7.625" style="568" bestFit="1" customWidth="1"/>
    <col min="777" max="777" width="5" style="568" bestFit="1" customWidth="1"/>
    <col min="778" max="778" width="8.375" style="568" bestFit="1" customWidth="1"/>
    <col min="779" max="779" width="18.75" style="568" bestFit="1" customWidth="1"/>
    <col min="780" max="781" width="8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2" width="7.625" style="568" bestFit="1" customWidth="1"/>
    <col min="1033" max="1033" width="5" style="568" bestFit="1" customWidth="1"/>
    <col min="1034" max="1034" width="8.375" style="568" bestFit="1" customWidth="1"/>
    <col min="1035" max="1035" width="18.75" style="568" bestFit="1" customWidth="1"/>
    <col min="1036" max="1037" width="8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8" width="7.625" style="568" bestFit="1" customWidth="1"/>
    <col min="1289" max="1289" width="5" style="568" bestFit="1" customWidth="1"/>
    <col min="1290" max="1290" width="8.375" style="568" bestFit="1" customWidth="1"/>
    <col min="1291" max="1291" width="18.75" style="568" bestFit="1" customWidth="1"/>
    <col min="1292" max="1293" width="8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4" width="7.625" style="568" bestFit="1" customWidth="1"/>
    <col min="1545" max="1545" width="5" style="568" bestFit="1" customWidth="1"/>
    <col min="1546" max="1546" width="8.375" style="568" bestFit="1" customWidth="1"/>
    <col min="1547" max="1547" width="18.75" style="568" bestFit="1" customWidth="1"/>
    <col min="1548" max="1549" width="8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800" width="7.625" style="568" bestFit="1" customWidth="1"/>
    <col min="1801" max="1801" width="5" style="568" bestFit="1" customWidth="1"/>
    <col min="1802" max="1802" width="8.375" style="568" bestFit="1" customWidth="1"/>
    <col min="1803" max="1803" width="18.75" style="568" bestFit="1" customWidth="1"/>
    <col min="1804" max="1805" width="8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6" width="7.625" style="568" bestFit="1" customWidth="1"/>
    <col min="2057" max="2057" width="5" style="568" bestFit="1" customWidth="1"/>
    <col min="2058" max="2058" width="8.375" style="568" bestFit="1" customWidth="1"/>
    <col min="2059" max="2059" width="18.75" style="568" bestFit="1" customWidth="1"/>
    <col min="2060" max="2061" width="8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2" width="7.625" style="568" bestFit="1" customWidth="1"/>
    <col min="2313" max="2313" width="5" style="568" bestFit="1" customWidth="1"/>
    <col min="2314" max="2314" width="8.375" style="568" bestFit="1" customWidth="1"/>
    <col min="2315" max="2315" width="18.75" style="568" bestFit="1" customWidth="1"/>
    <col min="2316" max="2317" width="8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8" width="7.625" style="568" bestFit="1" customWidth="1"/>
    <col min="2569" max="2569" width="5" style="568" bestFit="1" customWidth="1"/>
    <col min="2570" max="2570" width="8.375" style="568" bestFit="1" customWidth="1"/>
    <col min="2571" max="2571" width="18.75" style="568" bestFit="1" customWidth="1"/>
    <col min="2572" max="2573" width="8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4" width="7.625" style="568" bestFit="1" customWidth="1"/>
    <col min="2825" max="2825" width="5" style="568" bestFit="1" customWidth="1"/>
    <col min="2826" max="2826" width="8.375" style="568" bestFit="1" customWidth="1"/>
    <col min="2827" max="2827" width="18.75" style="568" bestFit="1" customWidth="1"/>
    <col min="2828" max="2829" width="8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80" width="7.625" style="568" bestFit="1" customWidth="1"/>
    <col min="3081" max="3081" width="5" style="568" bestFit="1" customWidth="1"/>
    <col min="3082" max="3082" width="8.375" style="568" bestFit="1" customWidth="1"/>
    <col min="3083" max="3083" width="18.75" style="568" bestFit="1" customWidth="1"/>
    <col min="3084" max="3085" width="8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6" width="7.625" style="568" bestFit="1" customWidth="1"/>
    <col min="3337" max="3337" width="5" style="568" bestFit="1" customWidth="1"/>
    <col min="3338" max="3338" width="8.375" style="568" bestFit="1" customWidth="1"/>
    <col min="3339" max="3339" width="18.75" style="568" bestFit="1" customWidth="1"/>
    <col min="3340" max="3341" width="8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2" width="7.625" style="568" bestFit="1" customWidth="1"/>
    <col min="3593" max="3593" width="5" style="568" bestFit="1" customWidth="1"/>
    <col min="3594" max="3594" width="8.375" style="568" bestFit="1" customWidth="1"/>
    <col min="3595" max="3595" width="18.75" style="568" bestFit="1" customWidth="1"/>
    <col min="3596" max="3597" width="8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8" width="7.625" style="568" bestFit="1" customWidth="1"/>
    <col min="3849" max="3849" width="5" style="568" bestFit="1" customWidth="1"/>
    <col min="3850" max="3850" width="8.375" style="568" bestFit="1" customWidth="1"/>
    <col min="3851" max="3851" width="18.75" style="568" bestFit="1" customWidth="1"/>
    <col min="3852" max="3853" width="8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4" width="7.625" style="568" bestFit="1" customWidth="1"/>
    <col min="4105" max="4105" width="5" style="568" bestFit="1" customWidth="1"/>
    <col min="4106" max="4106" width="8.375" style="568" bestFit="1" customWidth="1"/>
    <col min="4107" max="4107" width="18.75" style="568" bestFit="1" customWidth="1"/>
    <col min="4108" max="4109" width="8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60" width="7.625" style="568" bestFit="1" customWidth="1"/>
    <col min="4361" max="4361" width="5" style="568" bestFit="1" customWidth="1"/>
    <col min="4362" max="4362" width="8.375" style="568" bestFit="1" customWidth="1"/>
    <col min="4363" max="4363" width="18.75" style="568" bestFit="1" customWidth="1"/>
    <col min="4364" max="4365" width="8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6" width="7.625" style="568" bestFit="1" customWidth="1"/>
    <col min="4617" max="4617" width="5" style="568" bestFit="1" customWidth="1"/>
    <col min="4618" max="4618" width="8.375" style="568" bestFit="1" customWidth="1"/>
    <col min="4619" max="4619" width="18.75" style="568" bestFit="1" customWidth="1"/>
    <col min="4620" max="4621" width="8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2" width="7.625" style="568" bestFit="1" customWidth="1"/>
    <col min="4873" max="4873" width="5" style="568" bestFit="1" customWidth="1"/>
    <col min="4874" max="4874" width="8.375" style="568" bestFit="1" customWidth="1"/>
    <col min="4875" max="4875" width="18.75" style="568" bestFit="1" customWidth="1"/>
    <col min="4876" max="4877" width="8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8" width="7.625" style="568" bestFit="1" customWidth="1"/>
    <col min="5129" max="5129" width="5" style="568" bestFit="1" customWidth="1"/>
    <col min="5130" max="5130" width="8.375" style="568" bestFit="1" customWidth="1"/>
    <col min="5131" max="5131" width="18.75" style="568" bestFit="1" customWidth="1"/>
    <col min="5132" max="5133" width="8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4" width="7.625" style="568" bestFit="1" customWidth="1"/>
    <col min="5385" max="5385" width="5" style="568" bestFit="1" customWidth="1"/>
    <col min="5386" max="5386" width="8.375" style="568" bestFit="1" customWidth="1"/>
    <col min="5387" max="5387" width="18.75" style="568" bestFit="1" customWidth="1"/>
    <col min="5388" max="5389" width="8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40" width="7.625" style="568" bestFit="1" customWidth="1"/>
    <col min="5641" max="5641" width="5" style="568" bestFit="1" customWidth="1"/>
    <col min="5642" max="5642" width="8.375" style="568" bestFit="1" customWidth="1"/>
    <col min="5643" max="5643" width="18.75" style="568" bestFit="1" customWidth="1"/>
    <col min="5644" max="5645" width="8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6" width="7.625" style="568" bestFit="1" customWidth="1"/>
    <col min="5897" max="5897" width="5" style="568" bestFit="1" customWidth="1"/>
    <col min="5898" max="5898" width="8.375" style="568" bestFit="1" customWidth="1"/>
    <col min="5899" max="5899" width="18.75" style="568" bestFit="1" customWidth="1"/>
    <col min="5900" max="5901" width="8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2" width="7.625" style="568" bestFit="1" customWidth="1"/>
    <col min="6153" max="6153" width="5" style="568" bestFit="1" customWidth="1"/>
    <col min="6154" max="6154" width="8.375" style="568" bestFit="1" customWidth="1"/>
    <col min="6155" max="6155" width="18.75" style="568" bestFit="1" customWidth="1"/>
    <col min="6156" max="6157" width="8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8" width="7.625" style="568" bestFit="1" customWidth="1"/>
    <col min="6409" max="6409" width="5" style="568" bestFit="1" customWidth="1"/>
    <col min="6410" max="6410" width="8.375" style="568" bestFit="1" customWidth="1"/>
    <col min="6411" max="6411" width="18.75" style="568" bestFit="1" customWidth="1"/>
    <col min="6412" max="6413" width="8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4" width="7.625" style="568" bestFit="1" customWidth="1"/>
    <col min="6665" max="6665" width="5" style="568" bestFit="1" customWidth="1"/>
    <col min="6666" max="6666" width="8.375" style="568" bestFit="1" customWidth="1"/>
    <col min="6667" max="6667" width="18.75" style="568" bestFit="1" customWidth="1"/>
    <col min="6668" max="6669" width="8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20" width="7.625" style="568" bestFit="1" customWidth="1"/>
    <col min="6921" max="6921" width="5" style="568" bestFit="1" customWidth="1"/>
    <col min="6922" max="6922" width="8.375" style="568" bestFit="1" customWidth="1"/>
    <col min="6923" max="6923" width="18.75" style="568" bestFit="1" customWidth="1"/>
    <col min="6924" max="6925" width="8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6" width="7.625" style="568" bestFit="1" customWidth="1"/>
    <col min="7177" max="7177" width="5" style="568" bestFit="1" customWidth="1"/>
    <col min="7178" max="7178" width="8.375" style="568" bestFit="1" customWidth="1"/>
    <col min="7179" max="7179" width="18.75" style="568" bestFit="1" customWidth="1"/>
    <col min="7180" max="7181" width="8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2" width="7.625" style="568" bestFit="1" customWidth="1"/>
    <col min="7433" max="7433" width="5" style="568" bestFit="1" customWidth="1"/>
    <col min="7434" max="7434" width="8.375" style="568" bestFit="1" customWidth="1"/>
    <col min="7435" max="7435" width="18.75" style="568" bestFit="1" customWidth="1"/>
    <col min="7436" max="7437" width="8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8" width="7.625" style="568" bestFit="1" customWidth="1"/>
    <col min="7689" max="7689" width="5" style="568" bestFit="1" customWidth="1"/>
    <col min="7690" max="7690" width="8.375" style="568" bestFit="1" customWidth="1"/>
    <col min="7691" max="7691" width="18.75" style="568" bestFit="1" customWidth="1"/>
    <col min="7692" max="7693" width="8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4" width="7.625" style="568" bestFit="1" customWidth="1"/>
    <col min="7945" max="7945" width="5" style="568" bestFit="1" customWidth="1"/>
    <col min="7946" max="7946" width="8.375" style="568" bestFit="1" customWidth="1"/>
    <col min="7947" max="7947" width="18.75" style="568" bestFit="1" customWidth="1"/>
    <col min="7948" max="7949" width="8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200" width="7.625" style="568" bestFit="1" customWidth="1"/>
    <col min="8201" max="8201" width="5" style="568" bestFit="1" customWidth="1"/>
    <col min="8202" max="8202" width="8.375" style="568" bestFit="1" customWidth="1"/>
    <col min="8203" max="8203" width="18.75" style="568" bestFit="1" customWidth="1"/>
    <col min="8204" max="8205" width="8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6" width="7.625" style="568" bestFit="1" customWidth="1"/>
    <col min="8457" max="8457" width="5" style="568" bestFit="1" customWidth="1"/>
    <col min="8458" max="8458" width="8.375" style="568" bestFit="1" customWidth="1"/>
    <col min="8459" max="8459" width="18.75" style="568" bestFit="1" customWidth="1"/>
    <col min="8460" max="8461" width="8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2" width="7.625" style="568" bestFit="1" customWidth="1"/>
    <col min="8713" max="8713" width="5" style="568" bestFit="1" customWidth="1"/>
    <col min="8714" max="8714" width="8.375" style="568" bestFit="1" customWidth="1"/>
    <col min="8715" max="8715" width="18.75" style="568" bestFit="1" customWidth="1"/>
    <col min="8716" max="8717" width="8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8" width="7.625" style="568" bestFit="1" customWidth="1"/>
    <col min="8969" max="8969" width="5" style="568" bestFit="1" customWidth="1"/>
    <col min="8970" max="8970" width="8.375" style="568" bestFit="1" customWidth="1"/>
    <col min="8971" max="8971" width="18.75" style="568" bestFit="1" customWidth="1"/>
    <col min="8972" max="8973" width="8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4" width="7.625" style="568" bestFit="1" customWidth="1"/>
    <col min="9225" max="9225" width="5" style="568" bestFit="1" customWidth="1"/>
    <col min="9226" max="9226" width="8.375" style="568" bestFit="1" customWidth="1"/>
    <col min="9227" max="9227" width="18.75" style="568" bestFit="1" customWidth="1"/>
    <col min="9228" max="9229" width="8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80" width="7.625" style="568" bestFit="1" customWidth="1"/>
    <col min="9481" max="9481" width="5" style="568" bestFit="1" customWidth="1"/>
    <col min="9482" max="9482" width="8.375" style="568" bestFit="1" customWidth="1"/>
    <col min="9483" max="9483" width="18.75" style="568" bestFit="1" customWidth="1"/>
    <col min="9484" max="9485" width="8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6" width="7.625" style="568" bestFit="1" customWidth="1"/>
    <col min="9737" max="9737" width="5" style="568" bestFit="1" customWidth="1"/>
    <col min="9738" max="9738" width="8.375" style="568" bestFit="1" customWidth="1"/>
    <col min="9739" max="9739" width="18.75" style="568" bestFit="1" customWidth="1"/>
    <col min="9740" max="9741" width="8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2" width="7.625" style="568" bestFit="1" customWidth="1"/>
    <col min="9993" max="9993" width="5" style="568" bestFit="1" customWidth="1"/>
    <col min="9994" max="9994" width="8.375" style="568" bestFit="1" customWidth="1"/>
    <col min="9995" max="9995" width="18.75" style="568" bestFit="1" customWidth="1"/>
    <col min="9996" max="9997" width="8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8" width="7.625" style="568" bestFit="1" customWidth="1"/>
    <col min="10249" max="10249" width="5" style="568" bestFit="1" customWidth="1"/>
    <col min="10250" max="10250" width="8.375" style="568" bestFit="1" customWidth="1"/>
    <col min="10251" max="10251" width="18.75" style="568" bestFit="1" customWidth="1"/>
    <col min="10252" max="10253" width="8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4" width="7.625" style="568" bestFit="1" customWidth="1"/>
    <col min="10505" max="10505" width="5" style="568" bestFit="1" customWidth="1"/>
    <col min="10506" max="10506" width="8.375" style="568" bestFit="1" customWidth="1"/>
    <col min="10507" max="10507" width="18.75" style="568" bestFit="1" customWidth="1"/>
    <col min="10508" max="10509" width="8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60" width="7.625" style="568" bestFit="1" customWidth="1"/>
    <col min="10761" max="10761" width="5" style="568" bestFit="1" customWidth="1"/>
    <col min="10762" max="10762" width="8.375" style="568" bestFit="1" customWidth="1"/>
    <col min="10763" max="10763" width="18.75" style="568" bestFit="1" customWidth="1"/>
    <col min="10764" max="10765" width="8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6" width="7.625" style="568" bestFit="1" customWidth="1"/>
    <col min="11017" max="11017" width="5" style="568" bestFit="1" customWidth="1"/>
    <col min="11018" max="11018" width="8.375" style="568" bestFit="1" customWidth="1"/>
    <col min="11019" max="11019" width="18.75" style="568" bestFit="1" customWidth="1"/>
    <col min="11020" max="11021" width="8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2" width="7.625" style="568" bestFit="1" customWidth="1"/>
    <col min="11273" max="11273" width="5" style="568" bestFit="1" customWidth="1"/>
    <col min="11274" max="11274" width="8.375" style="568" bestFit="1" customWidth="1"/>
    <col min="11275" max="11275" width="18.75" style="568" bestFit="1" customWidth="1"/>
    <col min="11276" max="11277" width="8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8" width="7.625" style="568" bestFit="1" customWidth="1"/>
    <col min="11529" max="11529" width="5" style="568" bestFit="1" customWidth="1"/>
    <col min="11530" max="11530" width="8.375" style="568" bestFit="1" customWidth="1"/>
    <col min="11531" max="11531" width="18.75" style="568" bestFit="1" customWidth="1"/>
    <col min="11532" max="11533" width="8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4" width="7.625" style="568" bestFit="1" customWidth="1"/>
    <col min="11785" max="11785" width="5" style="568" bestFit="1" customWidth="1"/>
    <col min="11786" max="11786" width="8.375" style="568" bestFit="1" customWidth="1"/>
    <col min="11787" max="11787" width="18.75" style="568" bestFit="1" customWidth="1"/>
    <col min="11788" max="11789" width="8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40" width="7.625" style="568" bestFit="1" customWidth="1"/>
    <col min="12041" max="12041" width="5" style="568" bestFit="1" customWidth="1"/>
    <col min="12042" max="12042" width="8.375" style="568" bestFit="1" customWidth="1"/>
    <col min="12043" max="12043" width="18.75" style="568" bestFit="1" customWidth="1"/>
    <col min="12044" max="12045" width="8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6" width="7.625" style="568" bestFit="1" customWidth="1"/>
    <col min="12297" max="12297" width="5" style="568" bestFit="1" customWidth="1"/>
    <col min="12298" max="12298" width="8.375" style="568" bestFit="1" customWidth="1"/>
    <col min="12299" max="12299" width="18.75" style="568" bestFit="1" customWidth="1"/>
    <col min="12300" max="12301" width="8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2" width="7.625" style="568" bestFit="1" customWidth="1"/>
    <col min="12553" max="12553" width="5" style="568" bestFit="1" customWidth="1"/>
    <col min="12554" max="12554" width="8.375" style="568" bestFit="1" customWidth="1"/>
    <col min="12555" max="12555" width="18.75" style="568" bestFit="1" customWidth="1"/>
    <col min="12556" max="12557" width="8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8" width="7.625" style="568" bestFit="1" customWidth="1"/>
    <col min="12809" max="12809" width="5" style="568" bestFit="1" customWidth="1"/>
    <col min="12810" max="12810" width="8.375" style="568" bestFit="1" customWidth="1"/>
    <col min="12811" max="12811" width="18.75" style="568" bestFit="1" customWidth="1"/>
    <col min="12812" max="12813" width="8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4" width="7.625" style="568" bestFit="1" customWidth="1"/>
    <col min="13065" max="13065" width="5" style="568" bestFit="1" customWidth="1"/>
    <col min="13066" max="13066" width="8.375" style="568" bestFit="1" customWidth="1"/>
    <col min="13067" max="13067" width="18.75" style="568" bestFit="1" customWidth="1"/>
    <col min="13068" max="13069" width="8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20" width="7.625" style="568" bestFit="1" customWidth="1"/>
    <col min="13321" max="13321" width="5" style="568" bestFit="1" customWidth="1"/>
    <col min="13322" max="13322" width="8.375" style="568" bestFit="1" customWidth="1"/>
    <col min="13323" max="13323" width="18.75" style="568" bestFit="1" customWidth="1"/>
    <col min="13324" max="13325" width="8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6" width="7.625" style="568" bestFit="1" customWidth="1"/>
    <col min="13577" max="13577" width="5" style="568" bestFit="1" customWidth="1"/>
    <col min="13578" max="13578" width="8.375" style="568" bestFit="1" customWidth="1"/>
    <col min="13579" max="13579" width="18.75" style="568" bestFit="1" customWidth="1"/>
    <col min="13580" max="13581" width="8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2" width="7.625" style="568" bestFit="1" customWidth="1"/>
    <col min="13833" max="13833" width="5" style="568" bestFit="1" customWidth="1"/>
    <col min="13834" max="13834" width="8.375" style="568" bestFit="1" customWidth="1"/>
    <col min="13835" max="13835" width="18.75" style="568" bestFit="1" customWidth="1"/>
    <col min="13836" max="13837" width="8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8" width="7.625" style="568" bestFit="1" customWidth="1"/>
    <col min="14089" max="14089" width="5" style="568" bestFit="1" customWidth="1"/>
    <col min="14090" max="14090" width="8.375" style="568" bestFit="1" customWidth="1"/>
    <col min="14091" max="14091" width="18.75" style="568" bestFit="1" customWidth="1"/>
    <col min="14092" max="14093" width="8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4" width="7.625" style="568" bestFit="1" customWidth="1"/>
    <col min="14345" max="14345" width="5" style="568" bestFit="1" customWidth="1"/>
    <col min="14346" max="14346" width="8.375" style="568" bestFit="1" customWidth="1"/>
    <col min="14347" max="14347" width="18.75" style="568" bestFit="1" customWidth="1"/>
    <col min="14348" max="14349" width="8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600" width="7.625" style="568" bestFit="1" customWidth="1"/>
    <col min="14601" max="14601" width="5" style="568" bestFit="1" customWidth="1"/>
    <col min="14602" max="14602" width="8.375" style="568" bestFit="1" customWidth="1"/>
    <col min="14603" max="14603" width="18.75" style="568" bestFit="1" customWidth="1"/>
    <col min="14604" max="14605" width="8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6" width="7.625" style="568" bestFit="1" customWidth="1"/>
    <col min="14857" max="14857" width="5" style="568" bestFit="1" customWidth="1"/>
    <col min="14858" max="14858" width="8.375" style="568" bestFit="1" customWidth="1"/>
    <col min="14859" max="14859" width="18.75" style="568" bestFit="1" customWidth="1"/>
    <col min="14860" max="14861" width="8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2" width="7.625" style="568" bestFit="1" customWidth="1"/>
    <col min="15113" max="15113" width="5" style="568" bestFit="1" customWidth="1"/>
    <col min="15114" max="15114" width="8.375" style="568" bestFit="1" customWidth="1"/>
    <col min="15115" max="15115" width="18.75" style="568" bestFit="1" customWidth="1"/>
    <col min="15116" max="15117" width="8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8" width="7.625" style="568" bestFit="1" customWidth="1"/>
    <col min="15369" max="15369" width="5" style="568" bestFit="1" customWidth="1"/>
    <col min="15370" max="15370" width="8.375" style="568" bestFit="1" customWidth="1"/>
    <col min="15371" max="15371" width="18.75" style="568" bestFit="1" customWidth="1"/>
    <col min="15372" max="15373" width="8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4" width="7.625" style="568" bestFit="1" customWidth="1"/>
    <col min="15625" max="15625" width="5" style="568" bestFit="1" customWidth="1"/>
    <col min="15626" max="15626" width="8.375" style="568" bestFit="1" customWidth="1"/>
    <col min="15627" max="15627" width="18.75" style="568" bestFit="1" customWidth="1"/>
    <col min="15628" max="15629" width="8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80" width="7.625" style="568" bestFit="1" customWidth="1"/>
    <col min="15881" max="15881" width="5" style="568" bestFit="1" customWidth="1"/>
    <col min="15882" max="15882" width="8.375" style="568" bestFit="1" customWidth="1"/>
    <col min="15883" max="15883" width="18.75" style="568" bestFit="1" customWidth="1"/>
    <col min="15884" max="15885" width="8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6" width="7.625" style="568" bestFit="1" customWidth="1"/>
    <col min="16137" max="16137" width="5" style="568" bestFit="1" customWidth="1"/>
    <col min="16138" max="16138" width="8.375" style="568" bestFit="1" customWidth="1"/>
    <col min="16139" max="16139" width="18.75" style="568" bestFit="1" customWidth="1"/>
    <col min="16140" max="16141" width="8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778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401</v>
      </c>
      <c r="J9" s="567" t="s">
        <v>327</v>
      </c>
      <c r="K9" s="567" t="s">
        <v>1002</v>
      </c>
      <c r="L9" s="567" t="s">
        <v>1003</v>
      </c>
      <c r="M9" s="567" t="s">
        <v>1004</v>
      </c>
      <c r="N9" s="567" t="s">
        <v>1011</v>
      </c>
      <c r="O9" s="567" t="s">
        <v>1012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0.13577546296296297</v>
      </c>
      <c r="E10" s="567">
        <v>93848</v>
      </c>
      <c r="F10" s="567" t="s">
        <v>1001</v>
      </c>
      <c r="G10" s="567" t="s">
        <v>326</v>
      </c>
      <c r="H10" s="567">
        <v>0</v>
      </c>
      <c r="I10" s="567">
        <v>401</v>
      </c>
      <c r="J10" s="567" t="s">
        <v>327</v>
      </c>
      <c r="K10" s="567" t="s">
        <v>1002</v>
      </c>
      <c r="L10" s="567" t="s">
        <v>1003</v>
      </c>
      <c r="M10" s="567" t="s">
        <v>1004</v>
      </c>
      <c r="N10" s="567" t="s">
        <v>1011</v>
      </c>
      <c r="O10" s="567" t="s">
        <v>1012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0.14444444444444446</v>
      </c>
      <c r="E11" s="567">
        <v>5992</v>
      </c>
      <c r="F11" s="567" t="s">
        <v>335</v>
      </c>
      <c r="G11" s="567">
        <v>0</v>
      </c>
      <c r="H11" s="567" t="s">
        <v>326</v>
      </c>
      <c r="I11" s="567" t="s">
        <v>336</v>
      </c>
      <c r="J11" s="567">
        <v>0</v>
      </c>
      <c r="K11" s="567" t="s">
        <v>337</v>
      </c>
      <c r="L11" s="567">
        <v>45</v>
      </c>
      <c r="M11" s="567">
        <v>1</v>
      </c>
    </row>
    <row r="12" spans="1:18" ht="15" x14ac:dyDescent="0.2">
      <c r="A12" s="567"/>
      <c r="B12" s="567"/>
      <c r="C12" s="567"/>
      <c r="D12" s="569">
        <v>0.14791666666666667</v>
      </c>
      <c r="E12" s="567">
        <v>0</v>
      </c>
      <c r="F12" s="567" t="s">
        <v>1001</v>
      </c>
      <c r="G12" s="567" t="s">
        <v>326</v>
      </c>
      <c r="H12" s="567">
        <v>0</v>
      </c>
      <c r="I12" s="567">
        <v>97</v>
      </c>
      <c r="J12" s="567" t="s">
        <v>1010</v>
      </c>
      <c r="K12" s="567" t="s">
        <v>1002</v>
      </c>
      <c r="L12" s="567" t="s">
        <v>1003</v>
      </c>
      <c r="M12" s="567" t="s">
        <v>1004</v>
      </c>
      <c r="N12" s="567" t="s">
        <v>1005</v>
      </c>
      <c r="O12" s="567" t="s">
        <v>1006</v>
      </c>
      <c r="P12" s="567" t="s">
        <v>1007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0.18708333333333335</v>
      </c>
      <c r="E13" s="567">
        <v>27072</v>
      </c>
      <c r="F13" s="567" t="s">
        <v>1001</v>
      </c>
      <c r="G13" s="567" t="s">
        <v>326</v>
      </c>
      <c r="H13" s="567">
        <v>0</v>
      </c>
      <c r="I13" s="567">
        <v>97</v>
      </c>
      <c r="J13" s="567" t="s">
        <v>1010</v>
      </c>
      <c r="K13" s="567" t="s">
        <v>1002</v>
      </c>
      <c r="L13" s="567" t="s">
        <v>1003</v>
      </c>
      <c r="M13" s="567" t="s">
        <v>1004</v>
      </c>
      <c r="N13" s="567" t="s">
        <v>1005</v>
      </c>
      <c r="O13" s="567" t="s">
        <v>1006</v>
      </c>
      <c r="P13" s="567" t="s">
        <v>1009</v>
      </c>
      <c r="Q13" s="567" t="s">
        <v>1008</v>
      </c>
      <c r="R13" s="567">
        <v>80</v>
      </c>
    </row>
    <row r="14" spans="1:18" ht="15" x14ac:dyDescent="0.2">
      <c r="A14" s="567"/>
      <c r="B14" s="567"/>
      <c r="C14" s="567"/>
      <c r="D14" s="569">
        <v>0.18958333333333333</v>
      </c>
      <c r="E14" s="567">
        <v>1728</v>
      </c>
      <c r="F14" s="567" t="s">
        <v>1001</v>
      </c>
      <c r="G14" s="567" t="s">
        <v>326</v>
      </c>
      <c r="H14" s="567">
        <v>0</v>
      </c>
      <c r="I14" s="567">
        <v>97</v>
      </c>
      <c r="J14" s="567" t="s">
        <v>327</v>
      </c>
      <c r="K14" s="567" t="s">
        <v>1002</v>
      </c>
      <c r="L14" s="567" t="s">
        <v>1003</v>
      </c>
      <c r="M14" s="567" t="s">
        <v>1004</v>
      </c>
      <c r="N14" s="567" t="s">
        <v>1005</v>
      </c>
      <c r="O14" s="567" t="s">
        <v>1006</v>
      </c>
      <c r="P14" s="567" t="s">
        <v>1007</v>
      </c>
      <c r="Q14" s="567" t="s">
        <v>1008</v>
      </c>
      <c r="R14" s="567">
        <v>80</v>
      </c>
    </row>
    <row r="15" spans="1:18" ht="15" x14ac:dyDescent="0.2">
      <c r="A15" s="567"/>
      <c r="B15" s="567"/>
      <c r="C15" s="567"/>
      <c r="D15" s="569">
        <v>0.33055555555555555</v>
      </c>
      <c r="E15" s="567">
        <v>97440</v>
      </c>
      <c r="F15" s="567" t="s">
        <v>1001</v>
      </c>
      <c r="G15" s="567" t="s">
        <v>326</v>
      </c>
      <c r="H15" s="567">
        <v>0</v>
      </c>
      <c r="I15" s="567">
        <v>97</v>
      </c>
      <c r="J15" s="567" t="s">
        <v>327</v>
      </c>
      <c r="K15" s="567" t="s">
        <v>1002</v>
      </c>
      <c r="L15" s="567" t="s">
        <v>1003</v>
      </c>
      <c r="M15" s="567" t="s">
        <v>1004</v>
      </c>
      <c r="N15" s="567" t="s">
        <v>1005</v>
      </c>
      <c r="O15" s="567" t="s">
        <v>1006</v>
      </c>
      <c r="P15" s="567" t="s">
        <v>1009</v>
      </c>
      <c r="Q15" s="567" t="s">
        <v>1008</v>
      </c>
      <c r="R15" s="567">
        <v>80</v>
      </c>
    </row>
    <row r="16" spans="1:18" ht="15" x14ac:dyDescent="0.2">
      <c r="A16" s="567"/>
      <c r="B16" s="567"/>
      <c r="C16" s="567"/>
      <c r="D16" s="569">
        <v>0.33055555555555555</v>
      </c>
      <c r="E16" s="567">
        <v>0</v>
      </c>
      <c r="F16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sqref="A1:U20"/>
    </sheetView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7" width="7.625" style="568" bestFit="1" customWidth="1"/>
    <col min="8" max="8" width="2.25" style="568" bestFit="1" customWidth="1"/>
    <col min="9" max="9" width="4.375" style="568" bestFit="1" customWidth="1"/>
    <col min="10" max="10" width="8.375" style="568" bestFit="1" customWidth="1"/>
    <col min="11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3" width="7.625" style="568" bestFit="1" customWidth="1"/>
    <col min="264" max="264" width="2.25" style="568" bestFit="1" customWidth="1"/>
    <col min="265" max="265" width="4.375" style="568" bestFit="1" customWidth="1"/>
    <col min="266" max="266" width="8.375" style="568" bestFit="1" customWidth="1"/>
    <col min="267" max="269" width="8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19" width="7.625" style="568" bestFit="1" customWidth="1"/>
    <col min="520" max="520" width="2.25" style="568" bestFit="1" customWidth="1"/>
    <col min="521" max="521" width="4.375" style="568" bestFit="1" customWidth="1"/>
    <col min="522" max="522" width="8.375" style="568" bestFit="1" customWidth="1"/>
    <col min="523" max="525" width="8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5" width="7.625" style="568" bestFit="1" customWidth="1"/>
    <col min="776" max="776" width="2.25" style="568" bestFit="1" customWidth="1"/>
    <col min="777" max="777" width="4.375" style="568" bestFit="1" customWidth="1"/>
    <col min="778" max="778" width="8.375" style="568" bestFit="1" customWidth="1"/>
    <col min="779" max="781" width="8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1" width="7.625" style="568" bestFit="1" customWidth="1"/>
    <col min="1032" max="1032" width="2.25" style="568" bestFit="1" customWidth="1"/>
    <col min="1033" max="1033" width="4.375" style="568" bestFit="1" customWidth="1"/>
    <col min="1034" max="1034" width="8.375" style="568" bestFit="1" customWidth="1"/>
    <col min="1035" max="1037" width="8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7" width="7.625" style="568" bestFit="1" customWidth="1"/>
    <col min="1288" max="1288" width="2.25" style="568" bestFit="1" customWidth="1"/>
    <col min="1289" max="1289" width="4.375" style="568" bestFit="1" customWidth="1"/>
    <col min="1290" max="1290" width="8.375" style="568" bestFit="1" customWidth="1"/>
    <col min="1291" max="1293" width="8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3" width="7.625" style="568" bestFit="1" customWidth="1"/>
    <col min="1544" max="1544" width="2.25" style="568" bestFit="1" customWidth="1"/>
    <col min="1545" max="1545" width="4.375" style="568" bestFit="1" customWidth="1"/>
    <col min="1546" max="1546" width="8.375" style="568" bestFit="1" customWidth="1"/>
    <col min="1547" max="1549" width="8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799" width="7.625" style="568" bestFit="1" customWidth="1"/>
    <col min="1800" max="1800" width="2.25" style="568" bestFit="1" customWidth="1"/>
    <col min="1801" max="1801" width="4.375" style="568" bestFit="1" customWidth="1"/>
    <col min="1802" max="1802" width="8.375" style="568" bestFit="1" customWidth="1"/>
    <col min="1803" max="1805" width="8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5" width="7.625" style="568" bestFit="1" customWidth="1"/>
    <col min="2056" max="2056" width="2.25" style="568" bestFit="1" customWidth="1"/>
    <col min="2057" max="2057" width="4.375" style="568" bestFit="1" customWidth="1"/>
    <col min="2058" max="2058" width="8.375" style="568" bestFit="1" customWidth="1"/>
    <col min="2059" max="2061" width="8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1" width="7.625" style="568" bestFit="1" customWidth="1"/>
    <col min="2312" max="2312" width="2.25" style="568" bestFit="1" customWidth="1"/>
    <col min="2313" max="2313" width="4.375" style="568" bestFit="1" customWidth="1"/>
    <col min="2314" max="2314" width="8.375" style="568" bestFit="1" customWidth="1"/>
    <col min="2315" max="2317" width="8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7" width="7.625" style="568" bestFit="1" customWidth="1"/>
    <col min="2568" max="2568" width="2.25" style="568" bestFit="1" customWidth="1"/>
    <col min="2569" max="2569" width="4.375" style="568" bestFit="1" customWidth="1"/>
    <col min="2570" max="2570" width="8.375" style="568" bestFit="1" customWidth="1"/>
    <col min="2571" max="2573" width="8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3" width="7.625" style="568" bestFit="1" customWidth="1"/>
    <col min="2824" max="2824" width="2.25" style="568" bestFit="1" customWidth="1"/>
    <col min="2825" max="2825" width="4.375" style="568" bestFit="1" customWidth="1"/>
    <col min="2826" max="2826" width="8.375" style="568" bestFit="1" customWidth="1"/>
    <col min="2827" max="2829" width="8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79" width="7.625" style="568" bestFit="1" customWidth="1"/>
    <col min="3080" max="3080" width="2.25" style="568" bestFit="1" customWidth="1"/>
    <col min="3081" max="3081" width="4.375" style="568" bestFit="1" customWidth="1"/>
    <col min="3082" max="3082" width="8.375" style="568" bestFit="1" customWidth="1"/>
    <col min="3083" max="3085" width="8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5" width="7.625" style="568" bestFit="1" customWidth="1"/>
    <col min="3336" max="3336" width="2.25" style="568" bestFit="1" customWidth="1"/>
    <col min="3337" max="3337" width="4.375" style="568" bestFit="1" customWidth="1"/>
    <col min="3338" max="3338" width="8.375" style="568" bestFit="1" customWidth="1"/>
    <col min="3339" max="3341" width="8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1" width="7.625" style="568" bestFit="1" customWidth="1"/>
    <col min="3592" max="3592" width="2.25" style="568" bestFit="1" customWidth="1"/>
    <col min="3593" max="3593" width="4.375" style="568" bestFit="1" customWidth="1"/>
    <col min="3594" max="3594" width="8.375" style="568" bestFit="1" customWidth="1"/>
    <col min="3595" max="3597" width="8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7" width="7.625" style="568" bestFit="1" customWidth="1"/>
    <col min="3848" max="3848" width="2.25" style="568" bestFit="1" customWidth="1"/>
    <col min="3849" max="3849" width="4.375" style="568" bestFit="1" customWidth="1"/>
    <col min="3850" max="3850" width="8.375" style="568" bestFit="1" customWidth="1"/>
    <col min="3851" max="3853" width="8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3" width="7.625" style="568" bestFit="1" customWidth="1"/>
    <col min="4104" max="4104" width="2.25" style="568" bestFit="1" customWidth="1"/>
    <col min="4105" max="4105" width="4.375" style="568" bestFit="1" customWidth="1"/>
    <col min="4106" max="4106" width="8.375" style="568" bestFit="1" customWidth="1"/>
    <col min="4107" max="4109" width="8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59" width="7.625" style="568" bestFit="1" customWidth="1"/>
    <col min="4360" max="4360" width="2.25" style="568" bestFit="1" customWidth="1"/>
    <col min="4361" max="4361" width="4.375" style="568" bestFit="1" customWidth="1"/>
    <col min="4362" max="4362" width="8.375" style="568" bestFit="1" customWidth="1"/>
    <col min="4363" max="4365" width="8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5" width="7.625" style="568" bestFit="1" customWidth="1"/>
    <col min="4616" max="4616" width="2.25" style="568" bestFit="1" customWidth="1"/>
    <col min="4617" max="4617" width="4.375" style="568" bestFit="1" customWidth="1"/>
    <col min="4618" max="4618" width="8.375" style="568" bestFit="1" customWidth="1"/>
    <col min="4619" max="4621" width="8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1" width="7.625" style="568" bestFit="1" customWidth="1"/>
    <col min="4872" max="4872" width="2.25" style="568" bestFit="1" customWidth="1"/>
    <col min="4873" max="4873" width="4.375" style="568" bestFit="1" customWidth="1"/>
    <col min="4874" max="4874" width="8.375" style="568" bestFit="1" customWidth="1"/>
    <col min="4875" max="4877" width="8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7" width="7.625" style="568" bestFit="1" customWidth="1"/>
    <col min="5128" max="5128" width="2.25" style="568" bestFit="1" customWidth="1"/>
    <col min="5129" max="5129" width="4.375" style="568" bestFit="1" customWidth="1"/>
    <col min="5130" max="5130" width="8.375" style="568" bestFit="1" customWidth="1"/>
    <col min="5131" max="5133" width="8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3" width="7.625" style="568" bestFit="1" customWidth="1"/>
    <col min="5384" max="5384" width="2.25" style="568" bestFit="1" customWidth="1"/>
    <col min="5385" max="5385" width="4.375" style="568" bestFit="1" customWidth="1"/>
    <col min="5386" max="5386" width="8.375" style="568" bestFit="1" customWidth="1"/>
    <col min="5387" max="5389" width="8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39" width="7.625" style="568" bestFit="1" customWidth="1"/>
    <col min="5640" max="5640" width="2.25" style="568" bestFit="1" customWidth="1"/>
    <col min="5641" max="5641" width="4.375" style="568" bestFit="1" customWidth="1"/>
    <col min="5642" max="5642" width="8.375" style="568" bestFit="1" customWidth="1"/>
    <col min="5643" max="5645" width="8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5" width="7.625" style="568" bestFit="1" customWidth="1"/>
    <col min="5896" max="5896" width="2.25" style="568" bestFit="1" customWidth="1"/>
    <col min="5897" max="5897" width="4.375" style="568" bestFit="1" customWidth="1"/>
    <col min="5898" max="5898" width="8.375" style="568" bestFit="1" customWidth="1"/>
    <col min="5899" max="5901" width="8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1" width="7.625" style="568" bestFit="1" customWidth="1"/>
    <col min="6152" max="6152" width="2.25" style="568" bestFit="1" customWidth="1"/>
    <col min="6153" max="6153" width="4.375" style="568" bestFit="1" customWidth="1"/>
    <col min="6154" max="6154" width="8.375" style="568" bestFit="1" customWidth="1"/>
    <col min="6155" max="6157" width="8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7" width="7.625" style="568" bestFit="1" customWidth="1"/>
    <col min="6408" max="6408" width="2.25" style="568" bestFit="1" customWidth="1"/>
    <col min="6409" max="6409" width="4.375" style="568" bestFit="1" customWidth="1"/>
    <col min="6410" max="6410" width="8.375" style="568" bestFit="1" customWidth="1"/>
    <col min="6411" max="6413" width="8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3" width="7.625" style="568" bestFit="1" customWidth="1"/>
    <col min="6664" max="6664" width="2.25" style="568" bestFit="1" customWidth="1"/>
    <col min="6665" max="6665" width="4.375" style="568" bestFit="1" customWidth="1"/>
    <col min="6666" max="6666" width="8.375" style="568" bestFit="1" customWidth="1"/>
    <col min="6667" max="6669" width="8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19" width="7.625" style="568" bestFit="1" customWidth="1"/>
    <col min="6920" max="6920" width="2.25" style="568" bestFit="1" customWidth="1"/>
    <col min="6921" max="6921" width="4.375" style="568" bestFit="1" customWidth="1"/>
    <col min="6922" max="6922" width="8.375" style="568" bestFit="1" customWidth="1"/>
    <col min="6923" max="6925" width="8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5" width="7.625" style="568" bestFit="1" customWidth="1"/>
    <col min="7176" max="7176" width="2.25" style="568" bestFit="1" customWidth="1"/>
    <col min="7177" max="7177" width="4.375" style="568" bestFit="1" customWidth="1"/>
    <col min="7178" max="7178" width="8.375" style="568" bestFit="1" customWidth="1"/>
    <col min="7179" max="7181" width="8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1" width="7.625" style="568" bestFit="1" customWidth="1"/>
    <col min="7432" max="7432" width="2.25" style="568" bestFit="1" customWidth="1"/>
    <col min="7433" max="7433" width="4.375" style="568" bestFit="1" customWidth="1"/>
    <col min="7434" max="7434" width="8.375" style="568" bestFit="1" customWidth="1"/>
    <col min="7435" max="7437" width="8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7" width="7.625" style="568" bestFit="1" customWidth="1"/>
    <col min="7688" max="7688" width="2.25" style="568" bestFit="1" customWidth="1"/>
    <col min="7689" max="7689" width="4.375" style="568" bestFit="1" customWidth="1"/>
    <col min="7690" max="7690" width="8.375" style="568" bestFit="1" customWidth="1"/>
    <col min="7691" max="7693" width="8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3" width="7.625" style="568" bestFit="1" customWidth="1"/>
    <col min="7944" max="7944" width="2.25" style="568" bestFit="1" customWidth="1"/>
    <col min="7945" max="7945" width="4.375" style="568" bestFit="1" customWidth="1"/>
    <col min="7946" max="7946" width="8.375" style="568" bestFit="1" customWidth="1"/>
    <col min="7947" max="7949" width="8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199" width="7.625" style="568" bestFit="1" customWidth="1"/>
    <col min="8200" max="8200" width="2.25" style="568" bestFit="1" customWidth="1"/>
    <col min="8201" max="8201" width="4.375" style="568" bestFit="1" customWidth="1"/>
    <col min="8202" max="8202" width="8.375" style="568" bestFit="1" customWidth="1"/>
    <col min="8203" max="8205" width="8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5" width="7.625" style="568" bestFit="1" customWidth="1"/>
    <col min="8456" max="8456" width="2.25" style="568" bestFit="1" customWidth="1"/>
    <col min="8457" max="8457" width="4.375" style="568" bestFit="1" customWidth="1"/>
    <col min="8458" max="8458" width="8.375" style="568" bestFit="1" customWidth="1"/>
    <col min="8459" max="8461" width="8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1" width="7.625" style="568" bestFit="1" customWidth="1"/>
    <col min="8712" max="8712" width="2.25" style="568" bestFit="1" customWidth="1"/>
    <col min="8713" max="8713" width="4.375" style="568" bestFit="1" customWidth="1"/>
    <col min="8714" max="8714" width="8.375" style="568" bestFit="1" customWidth="1"/>
    <col min="8715" max="8717" width="8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7" width="7.625" style="568" bestFit="1" customWidth="1"/>
    <col min="8968" max="8968" width="2.25" style="568" bestFit="1" customWidth="1"/>
    <col min="8969" max="8969" width="4.375" style="568" bestFit="1" customWidth="1"/>
    <col min="8970" max="8970" width="8.375" style="568" bestFit="1" customWidth="1"/>
    <col min="8971" max="8973" width="8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3" width="7.625" style="568" bestFit="1" customWidth="1"/>
    <col min="9224" max="9224" width="2.25" style="568" bestFit="1" customWidth="1"/>
    <col min="9225" max="9225" width="4.375" style="568" bestFit="1" customWidth="1"/>
    <col min="9226" max="9226" width="8.375" style="568" bestFit="1" customWidth="1"/>
    <col min="9227" max="9229" width="8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79" width="7.625" style="568" bestFit="1" customWidth="1"/>
    <col min="9480" max="9480" width="2.25" style="568" bestFit="1" customWidth="1"/>
    <col min="9481" max="9481" width="4.375" style="568" bestFit="1" customWidth="1"/>
    <col min="9482" max="9482" width="8.375" style="568" bestFit="1" customWidth="1"/>
    <col min="9483" max="9485" width="8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5" width="7.625" style="568" bestFit="1" customWidth="1"/>
    <col min="9736" max="9736" width="2.25" style="568" bestFit="1" customWidth="1"/>
    <col min="9737" max="9737" width="4.375" style="568" bestFit="1" customWidth="1"/>
    <col min="9738" max="9738" width="8.375" style="568" bestFit="1" customWidth="1"/>
    <col min="9739" max="9741" width="8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1" width="7.625" style="568" bestFit="1" customWidth="1"/>
    <col min="9992" max="9992" width="2.25" style="568" bestFit="1" customWidth="1"/>
    <col min="9993" max="9993" width="4.375" style="568" bestFit="1" customWidth="1"/>
    <col min="9994" max="9994" width="8.375" style="568" bestFit="1" customWidth="1"/>
    <col min="9995" max="9997" width="8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7" width="7.625" style="568" bestFit="1" customWidth="1"/>
    <col min="10248" max="10248" width="2.25" style="568" bestFit="1" customWidth="1"/>
    <col min="10249" max="10249" width="4.375" style="568" bestFit="1" customWidth="1"/>
    <col min="10250" max="10250" width="8.375" style="568" bestFit="1" customWidth="1"/>
    <col min="10251" max="10253" width="8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3" width="7.625" style="568" bestFit="1" customWidth="1"/>
    <col min="10504" max="10504" width="2.25" style="568" bestFit="1" customWidth="1"/>
    <col min="10505" max="10505" width="4.375" style="568" bestFit="1" customWidth="1"/>
    <col min="10506" max="10506" width="8.375" style="568" bestFit="1" customWidth="1"/>
    <col min="10507" max="10509" width="8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59" width="7.625" style="568" bestFit="1" customWidth="1"/>
    <col min="10760" max="10760" width="2.25" style="568" bestFit="1" customWidth="1"/>
    <col min="10761" max="10761" width="4.375" style="568" bestFit="1" customWidth="1"/>
    <col min="10762" max="10762" width="8.375" style="568" bestFit="1" customWidth="1"/>
    <col min="10763" max="10765" width="8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5" width="7.625" style="568" bestFit="1" customWidth="1"/>
    <col min="11016" max="11016" width="2.25" style="568" bestFit="1" customWidth="1"/>
    <col min="11017" max="11017" width="4.375" style="568" bestFit="1" customWidth="1"/>
    <col min="11018" max="11018" width="8.375" style="568" bestFit="1" customWidth="1"/>
    <col min="11019" max="11021" width="8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1" width="7.625" style="568" bestFit="1" customWidth="1"/>
    <col min="11272" max="11272" width="2.25" style="568" bestFit="1" customWidth="1"/>
    <col min="11273" max="11273" width="4.375" style="568" bestFit="1" customWidth="1"/>
    <col min="11274" max="11274" width="8.375" style="568" bestFit="1" customWidth="1"/>
    <col min="11275" max="11277" width="8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7" width="7.625" style="568" bestFit="1" customWidth="1"/>
    <col min="11528" max="11528" width="2.25" style="568" bestFit="1" customWidth="1"/>
    <col min="11529" max="11529" width="4.375" style="568" bestFit="1" customWidth="1"/>
    <col min="11530" max="11530" width="8.375" style="568" bestFit="1" customWidth="1"/>
    <col min="11531" max="11533" width="8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3" width="7.625" style="568" bestFit="1" customWidth="1"/>
    <col min="11784" max="11784" width="2.25" style="568" bestFit="1" customWidth="1"/>
    <col min="11785" max="11785" width="4.375" style="568" bestFit="1" customWidth="1"/>
    <col min="11786" max="11786" width="8.375" style="568" bestFit="1" customWidth="1"/>
    <col min="11787" max="11789" width="8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39" width="7.625" style="568" bestFit="1" customWidth="1"/>
    <col min="12040" max="12040" width="2.25" style="568" bestFit="1" customWidth="1"/>
    <col min="12041" max="12041" width="4.375" style="568" bestFit="1" customWidth="1"/>
    <col min="12042" max="12042" width="8.375" style="568" bestFit="1" customWidth="1"/>
    <col min="12043" max="12045" width="8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5" width="7.625" style="568" bestFit="1" customWidth="1"/>
    <col min="12296" max="12296" width="2.25" style="568" bestFit="1" customWidth="1"/>
    <col min="12297" max="12297" width="4.375" style="568" bestFit="1" customWidth="1"/>
    <col min="12298" max="12298" width="8.375" style="568" bestFit="1" customWidth="1"/>
    <col min="12299" max="12301" width="8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1" width="7.625" style="568" bestFit="1" customWidth="1"/>
    <col min="12552" max="12552" width="2.25" style="568" bestFit="1" customWidth="1"/>
    <col min="12553" max="12553" width="4.375" style="568" bestFit="1" customWidth="1"/>
    <col min="12554" max="12554" width="8.375" style="568" bestFit="1" customWidth="1"/>
    <col min="12555" max="12557" width="8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7" width="7.625" style="568" bestFit="1" customWidth="1"/>
    <col min="12808" max="12808" width="2.25" style="568" bestFit="1" customWidth="1"/>
    <col min="12809" max="12809" width="4.375" style="568" bestFit="1" customWidth="1"/>
    <col min="12810" max="12810" width="8.375" style="568" bestFit="1" customWidth="1"/>
    <col min="12811" max="12813" width="8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3" width="7.625" style="568" bestFit="1" customWidth="1"/>
    <col min="13064" max="13064" width="2.25" style="568" bestFit="1" customWidth="1"/>
    <col min="13065" max="13065" width="4.375" style="568" bestFit="1" customWidth="1"/>
    <col min="13066" max="13066" width="8.375" style="568" bestFit="1" customWidth="1"/>
    <col min="13067" max="13069" width="8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19" width="7.625" style="568" bestFit="1" customWidth="1"/>
    <col min="13320" max="13320" width="2.25" style="568" bestFit="1" customWidth="1"/>
    <col min="13321" max="13321" width="4.375" style="568" bestFit="1" customWidth="1"/>
    <col min="13322" max="13322" width="8.375" style="568" bestFit="1" customWidth="1"/>
    <col min="13323" max="13325" width="8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5" width="7.625" style="568" bestFit="1" customWidth="1"/>
    <col min="13576" max="13576" width="2.25" style="568" bestFit="1" customWidth="1"/>
    <col min="13577" max="13577" width="4.375" style="568" bestFit="1" customWidth="1"/>
    <col min="13578" max="13578" width="8.375" style="568" bestFit="1" customWidth="1"/>
    <col min="13579" max="13581" width="8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1" width="7.625" style="568" bestFit="1" customWidth="1"/>
    <col min="13832" max="13832" width="2.25" style="568" bestFit="1" customWidth="1"/>
    <col min="13833" max="13833" width="4.375" style="568" bestFit="1" customWidth="1"/>
    <col min="13834" max="13834" width="8.375" style="568" bestFit="1" customWidth="1"/>
    <col min="13835" max="13837" width="8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7" width="7.625" style="568" bestFit="1" customWidth="1"/>
    <col min="14088" max="14088" width="2.25" style="568" bestFit="1" customWidth="1"/>
    <col min="14089" max="14089" width="4.375" style="568" bestFit="1" customWidth="1"/>
    <col min="14090" max="14090" width="8.375" style="568" bestFit="1" customWidth="1"/>
    <col min="14091" max="14093" width="8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3" width="7.625" style="568" bestFit="1" customWidth="1"/>
    <col min="14344" max="14344" width="2.25" style="568" bestFit="1" customWidth="1"/>
    <col min="14345" max="14345" width="4.375" style="568" bestFit="1" customWidth="1"/>
    <col min="14346" max="14346" width="8.375" style="568" bestFit="1" customWidth="1"/>
    <col min="14347" max="14349" width="8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599" width="7.625" style="568" bestFit="1" customWidth="1"/>
    <col min="14600" max="14600" width="2.25" style="568" bestFit="1" customWidth="1"/>
    <col min="14601" max="14601" width="4.375" style="568" bestFit="1" customWidth="1"/>
    <col min="14602" max="14602" width="8.375" style="568" bestFit="1" customWidth="1"/>
    <col min="14603" max="14605" width="8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5" width="7.625" style="568" bestFit="1" customWidth="1"/>
    <col min="14856" max="14856" width="2.25" style="568" bestFit="1" customWidth="1"/>
    <col min="14857" max="14857" width="4.375" style="568" bestFit="1" customWidth="1"/>
    <col min="14858" max="14858" width="8.375" style="568" bestFit="1" customWidth="1"/>
    <col min="14859" max="14861" width="8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1" width="7.625" style="568" bestFit="1" customWidth="1"/>
    <col min="15112" max="15112" width="2.25" style="568" bestFit="1" customWidth="1"/>
    <col min="15113" max="15113" width="4.375" style="568" bestFit="1" customWidth="1"/>
    <col min="15114" max="15114" width="8.375" style="568" bestFit="1" customWidth="1"/>
    <col min="15115" max="15117" width="8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7" width="7.625" style="568" bestFit="1" customWidth="1"/>
    <col min="15368" max="15368" width="2.25" style="568" bestFit="1" customWidth="1"/>
    <col min="15369" max="15369" width="4.375" style="568" bestFit="1" customWidth="1"/>
    <col min="15370" max="15370" width="8.375" style="568" bestFit="1" customWidth="1"/>
    <col min="15371" max="15373" width="8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3" width="7.625" style="568" bestFit="1" customWidth="1"/>
    <col min="15624" max="15624" width="2.25" style="568" bestFit="1" customWidth="1"/>
    <col min="15625" max="15625" width="4.375" style="568" bestFit="1" customWidth="1"/>
    <col min="15626" max="15626" width="8.375" style="568" bestFit="1" customWidth="1"/>
    <col min="15627" max="15629" width="8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79" width="7.625" style="568" bestFit="1" customWidth="1"/>
    <col min="15880" max="15880" width="2.25" style="568" bestFit="1" customWidth="1"/>
    <col min="15881" max="15881" width="4.375" style="568" bestFit="1" customWidth="1"/>
    <col min="15882" max="15882" width="8.375" style="568" bestFit="1" customWidth="1"/>
    <col min="15883" max="15885" width="8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5" width="7.625" style="568" bestFit="1" customWidth="1"/>
    <col min="16136" max="16136" width="2.25" style="568" bestFit="1" customWidth="1"/>
    <col min="16137" max="16137" width="4.375" style="568" bestFit="1" customWidth="1"/>
    <col min="16138" max="16138" width="8.375" style="568" bestFit="1" customWidth="1"/>
    <col min="16139" max="16141" width="8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1" spans="1:21" ht="15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1" ht="15.75" x14ac:dyDescent="0.25">
      <c r="A2" s="368"/>
      <c r="B2" s="368" t="s">
        <v>320</v>
      </c>
      <c r="C2" s="368">
        <v>781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ht="15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ht="15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ht="15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1" ht="15" x14ac:dyDescent="0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21" ht="15.75" x14ac:dyDescent="0.25">
      <c r="A7" s="368"/>
      <c r="B7" s="368"/>
      <c r="C7" s="368"/>
      <c r="D7" s="368" t="s">
        <v>321</v>
      </c>
      <c r="E7" s="368" t="s">
        <v>322</v>
      </c>
      <c r="F7" s="368" t="s">
        <v>323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</row>
    <row r="8" spans="1:21" ht="15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  <row r="9" spans="1:21" ht="15.75" x14ac:dyDescent="0.25">
      <c r="A9" s="368"/>
      <c r="B9" s="368"/>
      <c r="C9" s="368"/>
      <c r="D9" s="572">
        <v>0</v>
      </c>
      <c r="E9" s="368">
        <v>0</v>
      </c>
      <c r="F9" s="368" t="s">
        <v>1001</v>
      </c>
      <c r="G9" s="368" t="s">
        <v>326</v>
      </c>
      <c r="H9" s="368">
        <v>0</v>
      </c>
      <c r="I9" s="368">
        <v>97</v>
      </c>
      <c r="J9" s="368" t="s">
        <v>327</v>
      </c>
      <c r="K9" s="368" t="s">
        <v>1002</v>
      </c>
      <c r="L9" s="368" t="s">
        <v>1003</v>
      </c>
      <c r="M9" s="368" t="s">
        <v>1004</v>
      </c>
      <c r="N9" s="368" t="s">
        <v>1011</v>
      </c>
      <c r="O9" s="368" t="s">
        <v>1012</v>
      </c>
      <c r="P9" s="368" t="s">
        <v>1007</v>
      </c>
      <c r="Q9" s="368" t="s">
        <v>1008</v>
      </c>
      <c r="R9" s="368">
        <v>80</v>
      </c>
      <c r="S9"/>
      <c r="T9"/>
      <c r="U9"/>
    </row>
    <row r="10" spans="1:21" ht="15.75" x14ac:dyDescent="0.25">
      <c r="A10" s="368"/>
      <c r="B10" s="368"/>
      <c r="C10" s="368"/>
      <c r="D10" s="572">
        <v>4.8958333333333333E-2</v>
      </c>
      <c r="E10" s="368">
        <v>33840</v>
      </c>
      <c r="F10" s="368" t="s">
        <v>1001</v>
      </c>
      <c r="G10" s="368" t="s">
        <v>326</v>
      </c>
      <c r="H10" s="368">
        <v>0</v>
      </c>
      <c r="I10" s="368">
        <v>97</v>
      </c>
      <c r="J10" s="368" t="s">
        <v>327</v>
      </c>
      <c r="K10" s="368" t="s">
        <v>1002</v>
      </c>
      <c r="L10" s="368" t="s">
        <v>1003</v>
      </c>
      <c r="M10" s="368" t="s">
        <v>1004</v>
      </c>
      <c r="N10" s="368" t="s">
        <v>1011</v>
      </c>
      <c r="O10" s="368" t="s">
        <v>1012</v>
      </c>
      <c r="P10" s="368" t="s">
        <v>1009</v>
      </c>
      <c r="Q10" s="368" t="s">
        <v>1008</v>
      </c>
      <c r="R10" s="368">
        <v>80</v>
      </c>
      <c r="S10"/>
      <c r="T10"/>
      <c r="U10"/>
    </row>
    <row r="11" spans="1:21" ht="15.75" x14ac:dyDescent="0.25">
      <c r="A11" s="368"/>
      <c r="B11" s="368"/>
      <c r="C11" s="368"/>
      <c r="D11" s="572">
        <v>5.2083333333333336E-2</v>
      </c>
      <c r="E11" s="368">
        <v>2160</v>
      </c>
      <c r="F11" s="368" t="s">
        <v>1001</v>
      </c>
      <c r="G11" s="368" t="s">
        <v>326</v>
      </c>
      <c r="H11" s="368">
        <v>0</v>
      </c>
      <c r="I11" s="368">
        <v>401</v>
      </c>
      <c r="J11" s="368" t="s">
        <v>327</v>
      </c>
      <c r="K11" s="368" t="s">
        <v>329</v>
      </c>
      <c r="L11" s="368" t="s">
        <v>330</v>
      </c>
      <c r="M11" s="368" t="s">
        <v>331</v>
      </c>
      <c r="N11" s="368" t="s">
        <v>1011</v>
      </c>
      <c r="O11" s="368" t="s">
        <v>1012</v>
      </c>
      <c r="P11" s="368" t="s">
        <v>1007</v>
      </c>
      <c r="Q11" s="368" t="s">
        <v>1008</v>
      </c>
      <c r="R11" s="368">
        <v>80</v>
      </c>
      <c r="S11"/>
      <c r="T11"/>
      <c r="U11"/>
    </row>
    <row r="12" spans="1:21" ht="15.75" x14ac:dyDescent="0.25">
      <c r="A12" s="368"/>
      <c r="B12" s="368"/>
      <c r="C12" s="368"/>
      <c r="D12" s="572">
        <v>0.18590277777777778</v>
      </c>
      <c r="E12" s="368">
        <v>92496</v>
      </c>
      <c r="F12" s="368" t="s">
        <v>1001</v>
      </c>
      <c r="G12" s="368" t="s">
        <v>326</v>
      </c>
      <c r="H12" s="368">
        <v>0</v>
      </c>
      <c r="I12" s="368">
        <v>401</v>
      </c>
      <c r="J12" s="368" t="s">
        <v>327</v>
      </c>
      <c r="K12" s="368" t="s">
        <v>329</v>
      </c>
      <c r="L12" s="368" t="s">
        <v>330</v>
      </c>
      <c r="M12" s="368" t="s">
        <v>331</v>
      </c>
      <c r="N12" s="368" t="s">
        <v>1011</v>
      </c>
      <c r="O12" s="368" t="s">
        <v>1012</v>
      </c>
      <c r="P12" s="368" t="s">
        <v>1009</v>
      </c>
      <c r="Q12" s="368" t="s">
        <v>1008</v>
      </c>
      <c r="R12" s="368">
        <v>80</v>
      </c>
      <c r="S12"/>
      <c r="T12"/>
      <c r="U12"/>
    </row>
    <row r="13" spans="1:21" ht="15.75" x14ac:dyDescent="0.25">
      <c r="A13" s="368"/>
      <c r="B13" s="368"/>
      <c r="C13" s="368"/>
      <c r="D13" s="572">
        <v>0.19444444444444445</v>
      </c>
      <c r="E13" s="368">
        <v>5904</v>
      </c>
      <c r="F13" s="368" t="s">
        <v>1001</v>
      </c>
      <c r="G13" s="368" t="s">
        <v>326</v>
      </c>
      <c r="H13" s="368">
        <v>0</v>
      </c>
      <c r="I13" s="368">
        <v>401</v>
      </c>
      <c r="J13" s="368" t="s">
        <v>327</v>
      </c>
      <c r="K13" s="368" t="s">
        <v>1002</v>
      </c>
      <c r="L13" s="368" t="s">
        <v>1003</v>
      </c>
      <c r="M13" s="368" t="s">
        <v>1004</v>
      </c>
      <c r="N13" s="368" t="s">
        <v>1011</v>
      </c>
      <c r="O13" s="368" t="s">
        <v>1012</v>
      </c>
      <c r="P13" s="368" t="s">
        <v>1007</v>
      </c>
      <c r="Q13" s="368" t="s">
        <v>1008</v>
      </c>
      <c r="R13" s="368">
        <v>80</v>
      </c>
      <c r="S13"/>
      <c r="T13"/>
      <c r="U13"/>
    </row>
    <row r="14" spans="1:21" ht="15.75" x14ac:dyDescent="0.25">
      <c r="A14" s="368"/>
      <c r="B14" s="368"/>
      <c r="C14" s="368"/>
      <c r="D14" s="572">
        <v>0.27515046296296297</v>
      </c>
      <c r="E14" s="368">
        <v>55784</v>
      </c>
      <c r="F14" s="368" t="s">
        <v>1001</v>
      </c>
      <c r="G14" s="368" t="s">
        <v>326</v>
      </c>
      <c r="H14" s="368">
        <v>0</v>
      </c>
      <c r="I14" s="368">
        <v>401</v>
      </c>
      <c r="J14" s="368" t="s">
        <v>327</v>
      </c>
      <c r="K14" s="368" t="s">
        <v>1002</v>
      </c>
      <c r="L14" s="368" t="s">
        <v>1003</v>
      </c>
      <c r="M14" s="368" t="s">
        <v>1004</v>
      </c>
      <c r="N14" s="368" t="s">
        <v>1011</v>
      </c>
      <c r="O14" s="368" t="s">
        <v>1012</v>
      </c>
      <c r="P14" s="368" t="s">
        <v>1009</v>
      </c>
      <c r="Q14" s="368" t="s">
        <v>1008</v>
      </c>
      <c r="R14" s="368">
        <v>80</v>
      </c>
      <c r="S14"/>
      <c r="T14"/>
      <c r="U14"/>
    </row>
    <row r="15" spans="1:21" ht="15.75" x14ac:dyDescent="0.25">
      <c r="A15" s="368"/>
      <c r="B15" s="368"/>
      <c r="C15" s="368"/>
      <c r="D15" s="572">
        <v>0.28055555555555556</v>
      </c>
      <c r="E15" s="368">
        <v>3736</v>
      </c>
      <c r="F15" s="368" t="s">
        <v>1001</v>
      </c>
      <c r="G15" s="368" t="s">
        <v>326</v>
      </c>
      <c r="H15" s="368">
        <v>0</v>
      </c>
      <c r="I15" s="368">
        <v>97</v>
      </c>
      <c r="J15" s="368" t="s">
        <v>1010</v>
      </c>
      <c r="K15" s="368" t="s">
        <v>1002</v>
      </c>
      <c r="L15" s="368" t="s">
        <v>1003</v>
      </c>
      <c r="M15" s="368" t="s">
        <v>1004</v>
      </c>
      <c r="N15" s="368" t="s">
        <v>1005</v>
      </c>
      <c r="O15" s="368" t="s">
        <v>1006</v>
      </c>
      <c r="P15" s="368" t="s">
        <v>1007</v>
      </c>
      <c r="Q15" s="368" t="s">
        <v>1008</v>
      </c>
      <c r="R15" s="368">
        <v>80</v>
      </c>
      <c r="S15"/>
      <c r="T15"/>
      <c r="U15"/>
    </row>
    <row r="16" spans="1:21" ht="15.75" x14ac:dyDescent="0.25">
      <c r="A16" s="368"/>
      <c r="B16" s="368"/>
      <c r="C16" s="368"/>
      <c r="D16" s="572">
        <v>0.39805555555555555</v>
      </c>
      <c r="E16" s="368">
        <v>81216</v>
      </c>
      <c r="F16" s="368" t="s">
        <v>1001</v>
      </c>
      <c r="G16" s="368" t="s">
        <v>326</v>
      </c>
      <c r="H16" s="368">
        <v>0</v>
      </c>
      <c r="I16" s="368">
        <v>97</v>
      </c>
      <c r="J16" s="368" t="s">
        <v>1010</v>
      </c>
      <c r="K16" s="368" t="s">
        <v>1002</v>
      </c>
      <c r="L16" s="368" t="s">
        <v>1003</v>
      </c>
      <c r="M16" s="368" t="s">
        <v>1004</v>
      </c>
      <c r="N16" s="368" t="s">
        <v>1005</v>
      </c>
      <c r="O16" s="368" t="s">
        <v>1006</v>
      </c>
      <c r="P16" s="368" t="s">
        <v>1009</v>
      </c>
      <c r="Q16" s="368" t="s">
        <v>1008</v>
      </c>
      <c r="R16" s="368">
        <v>80</v>
      </c>
      <c r="S16"/>
      <c r="T16"/>
      <c r="U16"/>
    </row>
    <row r="17" spans="1:21" ht="15.75" x14ac:dyDescent="0.25">
      <c r="A17" s="368"/>
      <c r="B17" s="368"/>
      <c r="C17" s="368"/>
      <c r="D17" s="572">
        <v>0.39805555555555555</v>
      </c>
      <c r="E17" s="368">
        <v>0</v>
      </c>
      <c r="F17" s="368" t="s">
        <v>340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1:21" ht="15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1" ht="15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ht="15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7" width="7.625" style="568" bestFit="1" customWidth="1"/>
    <col min="8" max="8" width="2.25" style="568" bestFit="1" customWidth="1"/>
    <col min="9" max="9" width="4.375" style="568" bestFit="1" customWidth="1"/>
    <col min="10" max="10" width="8.375" style="568" bestFit="1" customWidth="1"/>
    <col min="11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3" width="7.625" style="568" bestFit="1" customWidth="1"/>
    <col min="264" max="264" width="2.25" style="568" bestFit="1" customWidth="1"/>
    <col min="265" max="265" width="4.375" style="568" bestFit="1" customWidth="1"/>
    <col min="266" max="266" width="8.375" style="568" bestFit="1" customWidth="1"/>
    <col min="267" max="269" width="8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19" width="7.625" style="568" bestFit="1" customWidth="1"/>
    <col min="520" max="520" width="2.25" style="568" bestFit="1" customWidth="1"/>
    <col min="521" max="521" width="4.375" style="568" bestFit="1" customWidth="1"/>
    <col min="522" max="522" width="8.375" style="568" bestFit="1" customWidth="1"/>
    <col min="523" max="525" width="8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5" width="7.625" style="568" bestFit="1" customWidth="1"/>
    <col min="776" max="776" width="2.25" style="568" bestFit="1" customWidth="1"/>
    <col min="777" max="777" width="4.375" style="568" bestFit="1" customWidth="1"/>
    <col min="778" max="778" width="8.375" style="568" bestFit="1" customWidth="1"/>
    <col min="779" max="781" width="8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1" width="7.625" style="568" bestFit="1" customWidth="1"/>
    <col min="1032" max="1032" width="2.25" style="568" bestFit="1" customWidth="1"/>
    <col min="1033" max="1033" width="4.375" style="568" bestFit="1" customWidth="1"/>
    <col min="1034" max="1034" width="8.375" style="568" bestFit="1" customWidth="1"/>
    <col min="1035" max="1037" width="8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7" width="7.625" style="568" bestFit="1" customWidth="1"/>
    <col min="1288" max="1288" width="2.25" style="568" bestFit="1" customWidth="1"/>
    <col min="1289" max="1289" width="4.375" style="568" bestFit="1" customWidth="1"/>
    <col min="1290" max="1290" width="8.375" style="568" bestFit="1" customWidth="1"/>
    <col min="1291" max="1293" width="8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3" width="7.625" style="568" bestFit="1" customWidth="1"/>
    <col min="1544" max="1544" width="2.25" style="568" bestFit="1" customWidth="1"/>
    <col min="1545" max="1545" width="4.375" style="568" bestFit="1" customWidth="1"/>
    <col min="1546" max="1546" width="8.375" style="568" bestFit="1" customWidth="1"/>
    <col min="1547" max="1549" width="8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799" width="7.625" style="568" bestFit="1" customWidth="1"/>
    <col min="1800" max="1800" width="2.25" style="568" bestFit="1" customWidth="1"/>
    <col min="1801" max="1801" width="4.375" style="568" bestFit="1" customWidth="1"/>
    <col min="1802" max="1802" width="8.375" style="568" bestFit="1" customWidth="1"/>
    <col min="1803" max="1805" width="8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5" width="7.625" style="568" bestFit="1" customWidth="1"/>
    <col min="2056" max="2056" width="2.25" style="568" bestFit="1" customWidth="1"/>
    <col min="2057" max="2057" width="4.375" style="568" bestFit="1" customWidth="1"/>
    <col min="2058" max="2058" width="8.375" style="568" bestFit="1" customWidth="1"/>
    <col min="2059" max="2061" width="8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1" width="7.625" style="568" bestFit="1" customWidth="1"/>
    <col min="2312" max="2312" width="2.25" style="568" bestFit="1" customWidth="1"/>
    <col min="2313" max="2313" width="4.375" style="568" bestFit="1" customWidth="1"/>
    <col min="2314" max="2314" width="8.375" style="568" bestFit="1" customWidth="1"/>
    <col min="2315" max="2317" width="8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7" width="7.625" style="568" bestFit="1" customWidth="1"/>
    <col min="2568" max="2568" width="2.25" style="568" bestFit="1" customWidth="1"/>
    <col min="2569" max="2569" width="4.375" style="568" bestFit="1" customWidth="1"/>
    <col min="2570" max="2570" width="8.375" style="568" bestFit="1" customWidth="1"/>
    <col min="2571" max="2573" width="8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3" width="7.625" style="568" bestFit="1" customWidth="1"/>
    <col min="2824" max="2824" width="2.25" style="568" bestFit="1" customWidth="1"/>
    <col min="2825" max="2825" width="4.375" style="568" bestFit="1" customWidth="1"/>
    <col min="2826" max="2826" width="8.375" style="568" bestFit="1" customWidth="1"/>
    <col min="2827" max="2829" width="8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79" width="7.625" style="568" bestFit="1" customWidth="1"/>
    <col min="3080" max="3080" width="2.25" style="568" bestFit="1" customWidth="1"/>
    <col min="3081" max="3081" width="4.375" style="568" bestFit="1" customWidth="1"/>
    <col min="3082" max="3082" width="8.375" style="568" bestFit="1" customWidth="1"/>
    <col min="3083" max="3085" width="8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5" width="7.625" style="568" bestFit="1" customWidth="1"/>
    <col min="3336" max="3336" width="2.25" style="568" bestFit="1" customWidth="1"/>
    <col min="3337" max="3337" width="4.375" style="568" bestFit="1" customWidth="1"/>
    <col min="3338" max="3338" width="8.375" style="568" bestFit="1" customWidth="1"/>
    <col min="3339" max="3341" width="8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1" width="7.625" style="568" bestFit="1" customWidth="1"/>
    <col min="3592" max="3592" width="2.25" style="568" bestFit="1" customWidth="1"/>
    <col min="3593" max="3593" width="4.375" style="568" bestFit="1" customWidth="1"/>
    <col min="3594" max="3594" width="8.375" style="568" bestFit="1" customWidth="1"/>
    <col min="3595" max="3597" width="8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7" width="7.625" style="568" bestFit="1" customWidth="1"/>
    <col min="3848" max="3848" width="2.25" style="568" bestFit="1" customWidth="1"/>
    <col min="3849" max="3849" width="4.375" style="568" bestFit="1" customWidth="1"/>
    <col min="3850" max="3850" width="8.375" style="568" bestFit="1" customWidth="1"/>
    <col min="3851" max="3853" width="8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3" width="7.625" style="568" bestFit="1" customWidth="1"/>
    <col min="4104" max="4104" width="2.25" style="568" bestFit="1" customWidth="1"/>
    <col min="4105" max="4105" width="4.375" style="568" bestFit="1" customWidth="1"/>
    <col min="4106" max="4106" width="8.375" style="568" bestFit="1" customWidth="1"/>
    <col min="4107" max="4109" width="8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59" width="7.625" style="568" bestFit="1" customWidth="1"/>
    <col min="4360" max="4360" width="2.25" style="568" bestFit="1" customWidth="1"/>
    <col min="4361" max="4361" width="4.375" style="568" bestFit="1" customWidth="1"/>
    <col min="4362" max="4362" width="8.375" style="568" bestFit="1" customWidth="1"/>
    <col min="4363" max="4365" width="8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5" width="7.625" style="568" bestFit="1" customWidth="1"/>
    <col min="4616" max="4616" width="2.25" style="568" bestFit="1" customWidth="1"/>
    <col min="4617" max="4617" width="4.375" style="568" bestFit="1" customWidth="1"/>
    <col min="4618" max="4618" width="8.375" style="568" bestFit="1" customWidth="1"/>
    <col min="4619" max="4621" width="8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1" width="7.625" style="568" bestFit="1" customWidth="1"/>
    <col min="4872" max="4872" width="2.25" style="568" bestFit="1" customWidth="1"/>
    <col min="4873" max="4873" width="4.375" style="568" bestFit="1" customWidth="1"/>
    <col min="4874" max="4874" width="8.375" style="568" bestFit="1" customWidth="1"/>
    <col min="4875" max="4877" width="8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7" width="7.625" style="568" bestFit="1" customWidth="1"/>
    <col min="5128" max="5128" width="2.25" style="568" bestFit="1" customWidth="1"/>
    <col min="5129" max="5129" width="4.375" style="568" bestFit="1" customWidth="1"/>
    <col min="5130" max="5130" width="8.375" style="568" bestFit="1" customWidth="1"/>
    <col min="5131" max="5133" width="8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3" width="7.625" style="568" bestFit="1" customWidth="1"/>
    <col min="5384" max="5384" width="2.25" style="568" bestFit="1" customWidth="1"/>
    <col min="5385" max="5385" width="4.375" style="568" bestFit="1" customWidth="1"/>
    <col min="5386" max="5386" width="8.375" style="568" bestFit="1" customWidth="1"/>
    <col min="5387" max="5389" width="8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39" width="7.625" style="568" bestFit="1" customWidth="1"/>
    <col min="5640" max="5640" width="2.25" style="568" bestFit="1" customWidth="1"/>
    <col min="5641" max="5641" width="4.375" style="568" bestFit="1" customWidth="1"/>
    <col min="5642" max="5642" width="8.375" style="568" bestFit="1" customWidth="1"/>
    <col min="5643" max="5645" width="8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5" width="7.625" style="568" bestFit="1" customWidth="1"/>
    <col min="5896" max="5896" width="2.25" style="568" bestFit="1" customWidth="1"/>
    <col min="5897" max="5897" width="4.375" style="568" bestFit="1" customWidth="1"/>
    <col min="5898" max="5898" width="8.375" style="568" bestFit="1" customWidth="1"/>
    <col min="5899" max="5901" width="8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1" width="7.625" style="568" bestFit="1" customWidth="1"/>
    <col min="6152" max="6152" width="2.25" style="568" bestFit="1" customWidth="1"/>
    <col min="6153" max="6153" width="4.375" style="568" bestFit="1" customWidth="1"/>
    <col min="6154" max="6154" width="8.375" style="568" bestFit="1" customWidth="1"/>
    <col min="6155" max="6157" width="8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7" width="7.625" style="568" bestFit="1" customWidth="1"/>
    <col min="6408" max="6408" width="2.25" style="568" bestFit="1" customWidth="1"/>
    <col min="6409" max="6409" width="4.375" style="568" bestFit="1" customWidth="1"/>
    <col min="6410" max="6410" width="8.375" style="568" bestFit="1" customWidth="1"/>
    <col min="6411" max="6413" width="8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3" width="7.625" style="568" bestFit="1" customWidth="1"/>
    <col min="6664" max="6664" width="2.25" style="568" bestFit="1" customWidth="1"/>
    <col min="6665" max="6665" width="4.375" style="568" bestFit="1" customWidth="1"/>
    <col min="6666" max="6666" width="8.375" style="568" bestFit="1" customWidth="1"/>
    <col min="6667" max="6669" width="8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19" width="7.625" style="568" bestFit="1" customWidth="1"/>
    <col min="6920" max="6920" width="2.25" style="568" bestFit="1" customWidth="1"/>
    <col min="6921" max="6921" width="4.375" style="568" bestFit="1" customWidth="1"/>
    <col min="6922" max="6922" width="8.375" style="568" bestFit="1" customWidth="1"/>
    <col min="6923" max="6925" width="8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5" width="7.625" style="568" bestFit="1" customWidth="1"/>
    <col min="7176" max="7176" width="2.25" style="568" bestFit="1" customWidth="1"/>
    <col min="7177" max="7177" width="4.375" style="568" bestFit="1" customWidth="1"/>
    <col min="7178" max="7178" width="8.375" style="568" bestFit="1" customWidth="1"/>
    <col min="7179" max="7181" width="8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1" width="7.625" style="568" bestFit="1" customWidth="1"/>
    <col min="7432" max="7432" width="2.25" style="568" bestFit="1" customWidth="1"/>
    <col min="7433" max="7433" width="4.375" style="568" bestFit="1" customWidth="1"/>
    <col min="7434" max="7434" width="8.375" style="568" bestFit="1" customWidth="1"/>
    <col min="7435" max="7437" width="8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7" width="7.625" style="568" bestFit="1" customWidth="1"/>
    <col min="7688" max="7688" width="2.25" style="568" bestFit="1" customWidth="1"/>
    <col min="7689" max="7689" width="4.375" style="568" bestFit="1" customWidth="1"/>
    <col min="7690" max="7690" width="8.375" style="568" bestFit="1" customWidth="1"/>
    <col min="7691" max="7693" width="8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3" width="7.625" style="568" bestFit="1" customWidth="1"/>
    <col min="7944" max="7944" width="2.25" style="568" bestFit="1" customWidth="1"/>
    <col min="7945" max="7945" width="4.375" style="568" bestFit="1" customWidth="1"/>
    <col min="7946" max="7946" width="8.375" style="568" bestFit="1" customWidth="1"/>
    <col min="7947" max="7949" width="8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199" width="7.625" style="568" bestFit="1" customWidth="1"/>
    <col min="8200" max="8200" width="2.25" style="568" bestFit="1" customWidth="1"/>
    <col min="8201" max="8201" width="4.375" style="568" bestFit="1" customWidth="1"/>
    <col min="8202" max="8202" width="8.375" style="568" bestFit="1" customWidth="1"/>
    <col min="8203" max="8205" width="8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5" width="7.625" style="568" bestFit="1" customWidth="1"/>
    <col min="8456" max="8456" width="2.25" style="568" bestFit="1" customWidth="1"/>
    <col min="8457" max="8457" width="4.375" style="568" bestFit="1" customWidth="1"/>
    <col min="8458" max="8458" width="8.375" style="568" bestFit="1" customWidth="1"/>
    <col min="8459" max="8461" width="8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1" width="7.625" style="568" bestFit="1" customWidth="1"/>
    <col min="8712" max="8712" width="2.25" style="568" bestFit="1" customWidth="1"/>
    <col min="8713" max="8713" width="4.375" style="568" bestFit="1" customWidth="1"/>
    <col min="8714" max="8714" width="8.375" style="568" bestFit="1" customWidth="1"/>
    <col min="8715" max="8717" width="8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7" width="7.625" style="568" bestFit="1" customWidth="1"/>
    <col min="8968" max="8968" width="2.25" style="568" bestFit="1" customWidth="1"/>
    <col min="8969" max="8969" width="4.375" style="568" bestFit="1" customWidth="1"/>
    <col min="8970" max="8970" width="8.375" style="568" bestFit="1" customWidth="1"/>
    <col min="8971" max="8973" width="8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3" width="7.625" style="568" bestFit="1" customWidth="1"/>
    <col min="9224" max="9224" width="2.25" style="568" bestFit="1" customWidth="1"/>
    <col min="9225" max="9225" width="4.375" style="568" bestFit="1" customWidth="1"/>
    <col min="9226" max="9226" width="8.375" style="568" bestFit="1" customWidth="1"/>
    <col min="9227" max="9229" width="8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79" width="7.625" style="568" bestFit="1" customWidth="1"/>
    <col min="9480" max="9480" width="2.25" style="568" bestFit="1" customWidth="1"/>
    <col min="9481" max="9481" width="4.375" style="568" bestFit="1" customWidth="1"/>
    <col min="9482" max="9482" width="8.375" style="568" bestFit="1" customWidth="1"/>
    <col min="9483" max="9485" width="8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5" width="7.625" style="568" bestFit="1" customWidth="1"/>
    <col min="9736" max="9736" width="2.25" style="568" bestFit="1" customWidth="1"/>
    <col min="9737" max="9737" width="4.375" style="568" bestFit="1" customWidth="1"/>
    <col min="9738" max="9738" width="8.375" style="568" bestFit="1" customWidth="1"/>
    <col min="9739" max="9741" width="8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1" width="7.625" style="568" bestFit="1" customWidth="1"/>
    <col min="9992" max="9992" width="2.25" style="568" bestFit="1" customWidth="1"/>
    <col min="9993" max="9993" width="4.375" style="568" bestFit="1" customWidth="1"/>
    <col min="9994" max="9994" width="8.375" style="568" bestFit="1" customWidth="1"/>
    <col min="9995" max="9997" width="8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7" width="7.625" style="568" bestFit="1" customWidth="1"/>
    <col min="10248" max="10248" width="2.25" style="568" bestFit="1" customWidth="1"/>
    <col min="10249" max="10249" width="4.375" style="568" bestFit="1" customWidth="1"/>
    <col min="10250" max="10250" width="8.375" style="568" bestFit="1" customWidth="1"/>
    <col min="10251" max="10253" width="8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3" width="7.625" style="568" bestFit="1" customWidth="1"/>
    <col min="10504" max="10504" width="2.25" style="568" bestFit="1" customWidth="1"/>
    <col min="10505" max="10505" width="4.375" style="568" bestFit="1" customWidth="1"/>
    <col min="10506" max="10506" width="8.375" style="568" bestFit="1" customWidth="1"/>
    <col min="10507" max="10509" width="8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59" width="7.625" style="568" bestFit="1" customWidth="1"/>
    <col min="10760" max="10760" width="2.25" style="568" bestFit="1" customWidth="1"/>
    <col min="10761" max="10761" width="4.375" style="568" bestFit="1" customWidth="1"/>
    <col min="10762" max="10762" width="8.375" style="568" bestFit="1" customWidth="1"/>
    <col min="10763" max="10765" width="8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5" width="7.625" style="568" bestFit="1" customWidth="1"/>
    <col min="11016" max="11016" width="2.25" style="568" bestFit="1" customWidth="1"/>
    <col min="11017" max="11017" width="4.375" style="568" bestFit="1" customWidth="1"/>
    <col min="11018" max="11018" width="8.375" style="568" bestFit="1" customWidth="1"/>
    <col min="11019" max="11021" width="8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1" width="7.625" style="568" bestFit="1" customWidth="1"/>
    <col min="11272" max="11272" width="2.25" style="568" bestFit="1" customWidth="1"/>
    <col min="11273" max="11273" width="4.375" style="568" bestFit="1" customWidth="1"/>
    <col min="11274" max="11274" width="8.375" style="568" bestFit="1" customWidth="1"/>
    <col min="11275" max="11277" width="8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7" width="7.625" style="568" bestFit="1" customWidth="1"/>
    <col min="11528" max="11528" width="2.25" style="568" bestFit="1" customWidth="1"/>
    <col min="11529" max="11529" width="4.375" style="568" bestFit="1" customWidth="1"/>
    <col min="11530" max="11530" width="8.375" style="568" bestFit="1" customWidth="1"/>
    <col min="11531" max="11533" width="8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3" width="7.625" style="568" bestFit="1" customWidth="1"/>
    <col min="11784" max="11784" width="2.25" style="568" bestFit="1" customWidth="1"/>
    <col min="11785" max="11785" width="4.375" style="568" bestFit="1" customWidth="1"/>
    <col min="11786" max="11786" width="8.375" style="568" bestFit="1" customWidth="1"/>
    <col min="11787" max="11789" width="8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39" width="7.625" style="568" bestFit="1" customWidth="1"/>
    <col min="12040" max="12040" width="2.25" style="568" bestFit="1" customWidth="1"/>
    <col min="12041" max="12041" width="4.375" style="568" bestFit="1" customWidth="1"/>
    <col min="12042" max="12042" width="8.375" style="568" bestFit="1" customWidth="1"/>
    <col min="12043" max="12045" width="8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5" width="7.625" style="568" bestFit="1" customWidth="1"/>
    <col min="12296" max="12296" width="2.25" style="568" bestFit="1" customWidth="1"/>
    <col min="12297" max="12297" width="4.375" style="568" bestFit="1" customWidth="1"/>
    <col min="12298" max="12298" width="8.375" style="568" bestFit="1" customWidth="1"/>
    <col min="12299" max="12301" width="8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1" width="7.625" style="568" bestFit="1" customWidth="1"/>
    <col min="12552" max="12552" width="2.25" style="568" bestFit="1" customWidth="1"/>
    <col min="12553" max="12553" width="4.375" style="568" bestFit="1" customWidth="1"/>
    <col min="12554" max="12554" width="8.375" style="568" bestFit="1" customWidth="1"/>
    <col min="12555" max="12557" width="8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7" width="7.625" style="568" bestFit="1" customWidth="1"/>
    <col min="12808" max="12808" width="2.25" style="568" bestFit="1" customWidth="1"/>
    <col min="12809" max="12809" width="4.375" style="568" bestFit="1" customWidth="1"/>
    <col min="12810" max="12810" width="8.375" style="568" bestFit="1" customWidth="1"/>
    <col min="12811" max="12813" width="8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3" width="7.625" style="568" bestFit="1" customWidth="1"/>
    <col min="13064" max="13064" width="2.25" style="568" bestFit="1" customWidth="1"/>
    <col min="13065" max="13065" width="4.375" style="568" bestFit="1" customWidth="1"/>
    <col min="13066" max="13066" width="8.375" style="568" bestFit="1" customWidth="1"/>
    <col min="13067" max="13069" width="8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19" width="7.625" style="568" bestFit="1" customWidth="1"/>
    <col min="13320" max="13320" width="2.25" style="568" bestFit="1" customWidth="1"/>
    <col min="13321" max="13321" width="4.375" style="568" bestFit="1" customWidth="1"/>
    <col min="13322" max="13322" width="8.375" style="568" bestFit="1" customWidth="1"/>
    <col min="13323" max="13325" width="8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5" width="7.625" style="568" bestFit="1" customWidth="1"/>
    <col min="13576" max="13576" width="2.25" style="568" bestFit="1" customWidth="1"/>
    <col min="13577" max="13577" width="4.375" style="568" bestFit="1" customWidth="1"/>
    <col min="13578" max="13578" width="8.375" style="568" bestFit="1" customWidth="1"/>
    <col min="13579" max="13581" width="8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1" width="7.625" style="568" bestFit="1" customWidth="1"/>
    <col min="13832" max="13832" width="2.25" style="568" bestFit="1" customWidth="1"/>
    <col min="13833" max="13833" width="4.375" style="568" bestFit="1" customWidth="1"/>
    <col min="13834" max="13834" width="8.375" style="568" bestFit="1" customWidth="1"/>
    <col min="13835" max="13837" width="8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7" width="7.625" style="568" bestFit="1" customWidth="1"/>
    <col min="14088" max="14088" width="2.25" style="568" bestFit="1" customWidth="1"/>
    <col min="14089" max="14089" width="4.375" style="568" bestFit="1" customWidth="1"/>
    <col min="14090" max="14090" width="8.375" style="568" bestFit="1" customWidth="1"/>
    <col min="14091" max="14093" width="8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3" width="7.625" style="568" bestFit="1" customWidth="1"/>
    <col min="14344" max="14344" width="2.25" style="568" bestFit="1" customWidth="1"/>
    <col min="14345" max="14345" width="4.375" style="568" bestFit="1" customWidth="1"/>
    <col min="14346" max="14346" width="8.375" style="568" bestFit="1" customWidth="1"/>
    <col min="14347" max="14349" width="8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599" width="7.625" style="568" bestFit="1" customWidth="1"/>
    <col min="14600" max="14600" width="2.25" style="568" bestFit="1" customWidth="1"/>
    <col min="14601" max="14601" width="4.375" style="568" bestFit="1" customWidth="1"/>
    <col min="14602" max="14602" width="8.375" style="568" bestFit="1" customWidth="1"/>
    <col min="14603" max="14605" width="8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5" width="7.625" style="568" bestFit="1" customWidth="1"/>
    <col min="14856" max="14856" width="2.25" style="568" bestFit="1" customWidth="1"/>
    <col min="14857" max="14857" width="4.375" style="568" bestFit="1" customWidth="1"/>
    <col min="14858" max="14858" width="8.375" style="568" bestFit="1" customWidth="1"/>
    <col min="14859" max="14861" width="8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1" width="7.625" style="568" bestFit="1" customWidth="1"/>
    <col min="15112" max="15112" width="2.25" style="568" bestFit="1" customWidth="1"/>
    <col min="15113" max="15113" width="4.375" style="568" bestFit="1" customWidth="1"/>
    <col min="15114" max="15114" width="8.375" style="568" bestFit="1" customWidth="1"/>
    <col min="15115" max="15117" width="8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7" width="7.625" style="568" bestFit="1" customWidth="1"/>
    <col min="15368" max="15368" width="2.25" style="568" bestFit="1" customWidth="1"/>
    <col min="15369" max="15369" width="4.375" style="568" bestFit="1" customWidth="1"/>
    <col min="15370" max="15370" width="8.375" style="568" bestFit="1" customWidth="1"/>
    <col min="15371" max="15373" width="8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3" width="7.625" style="568" bestFit="1" customWidth="1"/>
    <col min="15624" max="15624" width="2.25" style="568" bestFit="1" customWidth="1"/>
    <col min="15625" max="15625" width="4.375" style="568" bestFit="1" customWidth="1"/>
    <col min="15626" max="15626" width="8.375" style="568" bestFit="1" customWidth="1"/>
    <col min="15627" max="15629" width="8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79" width="7.625" style="568" bestFit="1" customWidth="1"/>
    <col min="15880" max="15880" width="2.25" style="568" bestFit="1" customWidth="1"/>
    <col min="15881" max="15881" width="4.375" style="568" bestFit="1" customWidth="1"/>
    <col min="15882" max="15882" width="8.375" style="568" bestFit="1" customWidth="1"/>
    <col min="15883" max="15885" width="8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5" width="7.625" style="568" bestFit="1" customWidth="1"/>
    <col min="16136" max="16136" width="2.25" style="568" bestFit="1" customWidth="1"/>
    <col min="16137" max="16137" width="4.375" style="568" bestFit="1" customWidth="1"/>
    <col min="16138" max="16138" width="8.375" style="568" bestFit="1" customWidth="1"/>
    <col min="16139" max="16141" width="8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783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401</v>
      </c>
      <c r="J9" s="567" t="s">
        <v>327</v>
      </c>
      <c r="K9" s="567" t="s">
        <v>1002</v>
      </c>
      <c r="L9" s="567" t="s">
        <v>1003</v>
      </c>
      <c r="M9" s="567" t="s">
        <v>1004</v>
      </c>
      <c r="N9" s="567" t="s">
        <v>1011</v>
      </c>
      <c r="O9" s="567" t="s">
        <v>1012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8.070601851851851E-2</v>
      </c>
      <c r="E10" s="567">
        <v>55784</v>
      </c>
      <c r="F10" s="567" t="s">
        <v>1001</v>
      </c>
      <c r="G10" s="567" t="s">
        <v>326</v>
      </c>
      <c r="H10" s="567">
        <v>0</v>
      </c>
      <c r="I10" s="567">
        <v>401</v>
      </c>
      <c r="J10" s="567" t="s">
        <v>327</v>
      </c>
      <c r="K10" s="567" t="s">
        <v>1002</v>
      </c>
      <c r="L10" s="567" t="s">
        <v>1003</v>
      </c>
      <c r="M10" s="567" t="s">
        <v>1004</v>
      </c>
      <c r="N10" s="567" t="s">
        <v>1011</v>
      </c>
      <c r="O10" s="567" t="s">
        <v>1012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8.6111111111111124E-2</v>
      </c>
      <c r="E11" s="567">
        <v>3736</v>
      </c>
      <c r="F11" s="567" t="s">
        <v>1001</v>
      </c>
      <c r="G11" s="567" t="s">
        <v>326</v>
      </c>
      <c r="H11" s="567">
        <v>0</v>
      </c>
      <c r="I11" s="567">
        <v>97</v>
      </c>
      <c r="J11" s="567" t="s">
        <v>1010</v>
      </c>
      <c r="K11" s="567" t="s">
        <v>1002</v>
      </c>
      <c r="L11" s="567" t="s">
        <v>1003</v>
      </c>
      <c r="M11" s="567" t="s">
        <v>1004</v>
      </c>
      <c r="N11" s="567" t="s">
        <v>1005</v>
      </c>
      <c r="O11" s="567" t="s">
        <v>1006</v>
      </c>
      <c r="P11" s="567" t="s">
        <v>1007</v>
      </c>
      <c r="Q11" s="567" t="s">
        <v>1008</v>
      </c>
      <c r="R11" s="567">
        <v>80</v>
      </c>
    </row>
    <row r="12" spans="1:18" ht="15" x14ac:dyDescent="0.2">
      <c r="A12" s="567"/>
      <c r="B12" s="567"/>
      <c r="C12" s="567"/>
      <c r="D12" s="569">
        <v>0.15138888888888888</v>
      </c>
      <c r="E12" s="567">
        <v>45120</v>
      </c>
      <c r="F12" s="567" t="s">
        <v>1001</v>
      </c>
      <c r="G12" s="567" t="s">
        <v>326</v>
      </c>
      <c r="H12" s="567">
        <v>0</v>
      </c>
      <c r="I12" s="567">
        <v>97</v>
      </c>
      <c r="J12" s="567" t="s">
        <v>1010</v>
      </c>
      <c r="K12" s="567" t="s">
        <v>1002</v>
      </c>
      <c r="L12" s="567" t="s">
        <v>1003</v>
      </c>
      <c r="M12" s="567" t="s">
        <v>1004</v>
      </c>
      <c r="N12" s="567" t="s">
        <v>1005</v>
      </c>
      <c r="O12" s="567" t="s">
        <v>1006</v>
      </c>
      <c r="P12" s="567" t="s">
        <v>1009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0.15555555555555556</v>
      </c>
      <c r="E13" s="567">
        <v>2880</v>
      </c>
      <c r="F13" s="567" t="s">
        <v>1001</v>
      </c>
      <c r="G13" s="567" t="s">
        <v>326</v>
      </c>
      <c r="H13" s="567">
        <v>0</v>
      </c>
      <c r="I13" s="567">
        <v>39</v>
      </c>
      <c r="J13" s="567" t="s">
        <v>327</v>
      </c>
      <c r="K13" s="567" t="s">
        <v>1002</v>
      </c>
      <c r="L13" s="567" t="s">
        <v>1003</v>
      </c>
      <c r="M13" s="567" t="s">
        <v>1004</v>
      </c>
      <c r="N13" s="567" t="s">
        <v>1011</v>
      </c>
      <c r="O13" s="567" t="s">
        <v>1012</v>
      </c>
      <c r="P13" s="567" t="s">
        <v>1007</v>
      </c>
      <c r="Q13" s="567" t="s">
        <v>1008</v>
      </c>
      <c r="R13" s="567">
        <v>80</v>
      </c>
    </row>
    <row r="14" spans="1:18" ht="15" x14ac:dyDescent="0.2">
      <c r="A14" s="567"/>
      <c r="B14" s="567"/>
      <c r="C14" s="567"/>
      <c r="D14" s="569">
        <v>0.19472222222222224</v>
      </c>
      <c r="E14" s="567">
        <v>27072</v>
      </c>
      <c r="F14" s="567" t="s">
        <v>1001</v>
      </c>
      <c r="G14" s="567" t="s">
        <v>326</v>
      </c>
      <c r="H14" s="567">
        <v>0</v>
      </c>
      <c r="I14" s="567">
        <v>39</v>
      </c>
      <c r="J14" s="567" t="s">
        <v>327</v>
      </c>
      <c r="K14" s="567" t="s">
        <v>1002</v>
      </c>
      <c r="L14" s="567" t="s">
        <v>1003</v>
      </c>
      <c r="M14" s="567" t="s">
        <v>1004</v>
      </c>
      <c r="N14" s="567" t="s">
        <v>1011</v>
      </c>
      <c r="O14" s="567" t="s">
        <v>1012</v>
      </c>
      <c r="P14" s="567" t="s">
        <v>1009</v>
      </c>
      <c r="Q14" s="567" t="s">
        <v>1008</v>
      </c>
      <c r="R14" s="567">
        <v>80</v>
      </c>
    </row>
    <row r="15" spans="1:18" ht="15" x14ac:dyDescent="0.2">
      <c r="A15" s="567"/>
      <c r="B15" s="567"/>
      <c r="C15" s="567"/>
      <c r="D15" s="569">
        <v>0.19472222222222224</v>
      </c>
      <c r="E15" s="567">
        <v>0</v>
      </c>
      <c r="F15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8"/>
  <sheetViews>
    <sheetView workbookViewId="0"/>
  </sheetViews>
  <sheetFormatPr defaultColWidth="9"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7" width="7.625" style="568" bestFit="1" customWidth="1"/>
    <col min="8" max="8" width="2.25" style="568" bestFit="1" customWidth="1"/>
    <col min="9" max="9" width="3.375" style="568" bestFit="1" customWidth="1"/>
    <col min="10" max="10" width="8.375" style="568" bestFit="1" customWidth="1"/>
    <col min="11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16384" width="9" style="568"/>
  </cols>
  <sheetData>
    <row r="2" spans="1:18" ht="15" x14ac:dyDescent="0.2">
      <c r="A2" s="570"/>
      <c r="B2" s="570" t="s">
        <v>320</v>
      </c>
      <c r="C2" s="570">
        <v>784</v>
      </c>
    </row>
    <row r="7" spans="1:18" ht="15" x14ac:dyDescent="0.2">
      <c r="A7" s="570"/>
      <c r="B7" s="570"/>
      <c r="C7" s="570"/>
      <c r="D7" s="570" t="s">
        <v>321</v>
      </c>
      <c r="E7" s="570" t="s">
        <v>322</v>
      </c>
      <c r="F7" s="570" t="s">
        <v>323</v>
      </c>
    </row>
    <row r="9" spans="1:18" ht="15" x14ac:dyDescent="0.2">
      <c r="A9" s="570"/>
      <c r="B9" s="570"/>
      <c r="C9" s="570"/>
      <c r="D9" s="571">
        <v>0</v>
      </c>
      <c r="E9" s="570">
        <v>0</v>
      </c>
      <c r="F9" s="570" t="s">
        <v>1001</v>
      </c>
      <c r="G9" s="570" t="s">
        <v>326</v>
      </c>
      <c r="H9" s="570">
        <v>0</v>
      </c>
      <c r="I9" s="570">
        <v>39</v>
      </c>
      <c r="J9" s="570" t="s">
        <v>327</v>
      </c>
      <c r="K9" s="570" t="s">
        <v>1002</v>
      </c>
      <c r="L9" s="570" t="s">
        <v>1003</v>
      </c>
      <c r="M9" s="570" t="s">
        <v>1004</v>
      </c>
      <c r="N9" s="570" t="s">
        <v>1011</v>
      </c>
      <c r="O9" s="570" t="s">
        <v>1012</v>
      </c>
      <c r="P9" s="570" t="s">
        <v>1007</v>
      </c>
      <c r="Q9" s="570" t="s">
        <v>1008</v>
      </c>
      <c r="R9" s="570">
        <v>80</v>
      </c>
    </row>
    <row r="10" spans="1:18" ht="15" x14ac:dyDescent="0.2">
      <c r="A10" s="570"/>
      <c r="B10" s="570"/>
      <c r="C10" s="570"/>
      <c r="D10" s="571">
        <v>3.9583333333333331E-2</v>
      </c>
      <c r="E10" s="570">
        <v>27360</v>
      </c>
      <c r="F10" s="570" t="s">
        <v>1001</v>
      </c>
      <c r="G10" s="570" t="s">
        <v>326</v>
      </c>
      <c r="H10" s="570">
        <v>0</v>
      </c>
      <c r="I10" s="570">
        <v>39</v>
      </c>
      <c r="J10" s="570" t="s">
        <v>327</v>
      </c>
      <c r="K10" s="570" t="s">
        <v>1002</v>
      </c>
      <c r="L10" s="570" t="s">
        <v>1003</v>
      </c>
      <c r="M10" s="570" t="s">
        <v>1004</v>
      </c>
      <c r="N10" s="570" t="s">
        <v>1011</v>
      </c>
      <c r="O10" s="570" t="s">
        <v>1012</v>
      </c>
      <c r="P10" s="570" t="s">
        <v>1009</v>
      </c>
      <c r="Q10" s="570" t="s">
        <v>1008</v>
      </c>
      <c r="R10" s="570">
        <v>80</v>
      </c>
    </row>
    <row r="11" spans="1:18" ht="15" x14ac:dyDescent="0.2">
      <c r="A11" s="570"/>
      <c r="B11" s="570"/>
      <c r="C11" s="570"/>
      <c r="D11" s="571">
        <v>4.2361111111111106E-2</v>
      </c>
      <c r="E11" s="570">
        <v>1920</v>
      </c>
      <c r="F11" s="570" t="s">
        <v>1001</v>
      </c>
      <c r="G11" s="570" t="s">
        <v>326</v>
      </c>
      <c r="H11" s="570">
        <v>0</v>
      </c>
      <c r="I11" s="570">
        <v>39</v>
      </c>
      <c r="J11" s="570" t="s">
        <v>327</v>
      </c>
      <c r="K11" s="570" t="s">
        <v>1002</v>
      </c>
      <c r="L11" s="570" t="s">
        <v>1003</v>
      </c>
      <c r="M11" s="570" t="s">
        <v>1004</v>
      </c>
      <c r="N11" s="570" t="s">
        <v>1011</v>
      </c>
      <c r="O11" s="570" t="s">
        <v>1012</v>
      </c>
      <c r="P11" s="570" t="s">
        <v>1007</v>
      </c>
      <c r="Q11" s="570" t="s">
        <v>1008</v>
      </c>
      <c r="R11" s="570">
        <v>80</v>
      </c>
    </row>
    <row r="12" spans="1:18" ht="15" x14ac:dyDescent="0.2">
      <c r="A12" s="570"/>
      <c r="B12" s="570"/>
      <c r="C12" s="570"/>
      <c r="D12" s="571">
        <v>5.0694444444444452E-2</v>
      </c>
      <c r="E12" s="570">
        <v>5760</v>
      </c>
      <c r="F12" s="570" t="s">
        <v>1001</v>
      </c>
      <c r="G12" s="570" t="s">
        <v>326</v>
      </c>
      <c r="H12" s="570">
        <v>0</v>
      </c>
      <c r="I12" s="570">
        <v>39</v>
      </c>
      <c r="J12" s="570" t="s">
        <v>327</v>
      </c>
      <c r="K12" s="570" t="s">
        <v>1002</v>
      </c>
      <c r="L12" s="570" t="s">
        <v>1003</v>
      </c>
      <c r="M12" s="570" t="s">
        <v>1004</v>
      </c>
      <c r="N12" s="570" t="s">
        <v>1011</v>
      </c>
      <c r="O12" s="570" t="s">
        <v>1012</v>
      </c>
      <c r="P12" s="570" t="s">
        <v>1009</v>
      </c>
      <c r="Q12" s="570" t="s">
        <v>1008</v>
      </c>
      <c r="R12" s="570">
        <v>80</v>
      </c>
    </row>
    <row r="13" spans="1:18" ht="15" x14ac:dyDescent="0.2">
      <c r="A13" s="570"/>
      <c r="B13" s="570"/>
      <c r="C13" s="570"/>
      <c r="D13" s="571">
        <v>5.2777777777777778E-2</v>
      </c>
      <c r="E13" s="570">
        <v>1440</v>
      </c>
      <c r="F13" s="570" t="s">
        <v>1001</v>
      </c>
      <c r="G13" s="570" t="s">
        <v>326</v>
      </c>
      <c r="H13" s="570">
        <v>0</v>
      </c>
      <c r="I13" s="570">
        <v>39</v>
      </c>
      <c r="J13" s="570" t="s">
        <v>327</v>
      </c>
      <c r="K13" s="570" t="s">
        <v>1002</v>
      </c>
      <c r="L13" s="570" t="s">
        <v>1003</v>
      </c>
      <c r="M13" s="570" t="s">
        <v>1004</v>
      </c>
      <c r="N13" s="570" t="s">
        <v>1011</v>
      </c>
      <c r="O13" s="570" t="s">
        <v>1012</v>
      </c>
      <c r="P13" s="570" t="s">
        <v>1007</v>
      </c>
      <c r="Q13" s="570" t="s">
        <v>1008</v>
      </c>
      <c r="R13" s="570">
        <v>80</v>
      </c>
    </row>
    <row r="14" spans="1:18" ht="15" x14ac:dyDescent="0.2">
      <c r="A14" s="570"/>
      <c r="B14" s="570"/>
      <c r="C14" s="570"/>
      <c r="D14" s="571">
        <v>8.5416666666666655E-2</v>
      </c>
      <c r="E14" s="570">
        <v>22560</v>
      </c>
      <c r="F14" s="570" t="s">
        <v>1001</v>
      </c>
      <c r="G14" s="570" t="s">
        <v>326</v>
      </c>
      <c r="H14" s="570">
        <v>0</v>
      </c>
      <c r="I14" s="570">
        <v>39</v>
      </c>
      <c r="J14" s="570" t="s">
        <v>327</v>
      </c>
      <c r="K14" s="570" t="s">
        <v>1002</v>
      </c>
      <c r="L14" s="570" t="s">
        <v>1003</v>
      </c>
      <c r="M14" s="570" t="s">
        <v>1004</v>
      </c>
      <c r="N14" s="570" t="s">
        <v>1011</v>
      </c>
      <c r="O14" s="570" t="s">
        <v>1012</v>
      </c>
      <c r="P14" s="570" t="s">
        <v>1009</v>
      </c>
      <c r="Q14" s="570" t="s">
        <v>1008</v>
      </c>
      <c r="R14" s="570">
        <v>80</v>
      </c>
    </row>
    <row r="15" spans="1:18" ht="15" x14ac:dyDescent="0.2">
      <c r="A15" s="570"/>
      <c r="B15" s="570"/>
      <c r="C15" s="570"/>
      <c r="D15" s="571">
        <v>8.6458333333333345E-2</v>
      </c>
      <c r="E15" s="570">
        <v>720</v>
      </c>
      <c r="F15" s="570" t="s">
        <v>1001</v>
      </c>
      <c r="G15" s="570" t="s">
        <v>326</v>
      </c>
      <c r="H15" s="570">
        <v>0</v>
      </c>
      <c r="I15" s="570">
        <v>39</v>
      </c>
      <c r="J15" s="570" t="s">
        <v>327</v>
      </c>
      <c r="K15" s="570" t="s">
        <v>1002</v>
      </c>
      <c r="L15" s="570" t="s">
        <v>1003</v>
      </c>
      <c r="M15" s="570" t="s">
        <v>1004</v>
      </c>
      <c r="N15" s="570" t="s">
        <v>1011</v>
      </c>
      <c r="O15" s="570" t="s">
        <v>1012</v>
      </c>
      <c r="P15" s="570" t="s">
        <v>1007</v>
      </c>
      <c r="Q15" s="570" t="s">
        <v>1008</v>
      </c>
      <c r="R15" s="570">
        <v>80</v>
      </c>
    </row>
    <row r="16" spans="1:18" ht="15" x14ac:dyDescent="0.2">
      <c r="A16" s="570"/>
      <c r="B16" s="570"/>
      <c r="C16" s="570"/>
      <c r="D16" s="571">
        <v>0.16944444444444443</v>
      </c>
      <c r="E16" s="570">
        <v>57360</v>
      </c>
      <c r="F16" s="570" t="s">
        <v>1001</v>
      </c>
      <c r="G16" s="570" t="s">
        <v>326</v>
      </c>
      <c r="H16" s="570">
        <v>0</v>
      </c>
      <c r="I16" s="570">
        <v>39</v>
      </c>
      <c r="J16" s="570" t="s">
        <v>327</v>
      </c>
      <c r="K16" s="570" t="s">
        <v>1002</v>
      </c>
      <c r="L16" s="570" t="s">
        <v>1003</v>
      </c>
      <c r="M16" s="570" t="s">
        <v>1004</v>
      </c>
      <c r="N16" s="570" t="s">
        <v>1011</v>
      </c>
      <c r="O16" s="570" t="s">
        <v>1012</v>
      </c>
      <c r="P16" s="570" t="s">
        <v>1009</v>
      </c>
      <c r="Q16" s="570" t="s">
        <v>1008</v>
      </c>
      <c r="R16" s="570">
        <v>80</v>
      </c>
    </row>
    <row r="17" spans="1:18" ht="15" x14ac:dyDescent="0.2">
      <c r="A17" s="570"/>
      <c r="B17" s="570"/>
      <c r="C17" s="570"/>
      <c r="D17" s="571">
        <v>0.17500000000000002</v>
      </c>
      <c r="E17" s="570">
        <v>3840</v>
      </c>
      <c r="F17" s="570" t="s">
        <v>1001</v>
      </c>
      <c r="G17" s="570" t="s">
        <v>326</v>
      </c>
      <c r="H17" s="570">
        <v>0</v>
      </c>
      <c r="I17" s="570">
        <v>39</v>
      </c>
      <c r="J17" s="570" t="s">
        <v>327</v>
      </c>
      <c r="K17" s="570" t="s">
        <v>1002</v>
      </c>
      <c r="L17" s="570" t="s">
        <v>1003</v>
      </c>
      <c r="M17" s="570" t="s">
        <v>1004</v>
      </c>
      <c r="N17" s="570" t="s">
        <v>1011</v>
      </c>
      <c r="O17" s="570" t="s">
        <v>1012</v>
      </c>
      <c r="P17" s="570" t="s">
        <v>1007</v>
      </c>
      <c r="Q17" s="570" t="s">
        <v>1008</v>
      </c>
      <c r="R17" s="570">
        <v>80</v>
      </c>
    </row>
    <row r="18" spans="1:18" ht="15" x14ac:dyDescent="0.2">
      <c r="A18" s="570"/>
      <c r="B18" s="570"/>
      <c r="C18" s="570"/>
      <c r="D18" s="571">
        <v>0.17500000000000002</v>
      </c>
      <c r="E18" s="570">
        <v>0</v>
      </c>
      <c r="F18" s="570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6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8" width="7.625" style="568" bestFit="1" customWidth="1"/>
    <col min="9" max="9" width="5" style="568" bestFit="1" customWidth="1"/>
    <col min="10" max="10" width="8.375" style="568" bestFit="1" customWidth="1"/>
    <col min="11" max="11" width="18.75" style="568" bestFit="1" customWidth="1"/>
    <col min="12" max="13" width="11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4" width="7.625" style="568" bestFit="1" customWidth="1"/>
    <col min="265" max="265" width="5" style="568" bestFit="1" customWidth="1"/>
    <col min="266" max="266" width="8.375" style="568" bestFit="1" customWidth="1"/>
    <col min="267" max="267" width="18.75" style="568" bestFit="1" customWidth="1"/>
    <col min="268" max="269" width="11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20" width="7.625" style="568" bestFit="1" customWidth="1"/>
    <col min="521" max="521" width="5" style="568" bestFit="1" customWidth="1"/>
    <col min="522" max="522" width="8.375" style="568" bestFit="1" customWidth="1"/>
    <col min="523" max="523" width="18.75" style="568" bestFit="1" customWidth="1"/>
    <col min="524" max="525" width="11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6" width="7.625" style="568" bestFit="1" customWidth="1"/>
    <col min="777" max="777" width="5" style="568" bestFit="1" customWidth="1"/>
    <col min="778" max="778" width="8.375" style="568" bestFit="1" customWidth="1"/>
    <col min="779" max="779" width="18.75" style="568" bestFit="1" customWidth="1"/>
    <col min="780" max="781" width="11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2" width="7.625" style="568" bestFit="1" customWidth="1"/>
    <col min="1033" max="1033" width="5" style="568" bestFit="1" customWidth="1"/>
    <col min="1034" max="1034" width="8.375" style="568" bestFit="1" customWidth="1"/>
    <col min="1035" max="1035" width="18.75" style="568" bestFit="1" customWidth="1"/>
    <col min="1036" max="1037" width="11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8" width="7.625" style="568" bestFit="1" customWidth="1"/>
    <col min="1289" max="1289" width="5" style="568" bestFit="1" customWidth="1"/>
    <col min="1290" max="1290" width="8.375" style="568" bestFit="1" customWidth="1"/>
    <col min="1291" max="1291" width="18.75" style="568" bestFit="1" customWidth="1"/>
    <col min="1292" max="1293" width="11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4" width="7.625" style="568" bestFit="1" customWidth="1"/>
    <col min="1545" max="1545" width="5" style="568" bestFit="1" customWidth="1"/>
    <col min="1546" max="1546" width="8.375" style="568" bestFit="1" customWidth="1"/>
    <col min="1547" max="1547" width="18.75" style="568" bestFit="1" customWidth="1"/>
    <col min="1548" max="1549" width="11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800" width="7.625" style="568" bestFit="1" customWidth="1"/>
    <col min="1801" max="1801" width="5" style="568" bestFit="1" customWidth="1"/>
    <col min="1802" max="1802" width="8.375" style="568" bestFit="1" customWidth="1"/>
    <col min="1803" max="1803" width="18.75" style="568" bestFit="1" customWidth="1"/>
    <col min="1804" max="1805" width="11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6" width="7.625" style="568" bestFit="1" customWidth="1"/>
    <col min="2057" max="2057" width="5" style="568" bestFit="1" customWidth="1"/>
    <col min="2058" max="2058" width="8.375" style="568" bestFit="1" customWidth="1"/>
    <col min="2059" max="2059" width="18.75" style="568" bestFit="1" customWidth="1"/>
    <col min="2060" max="2061" width="11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2" width="7.625" style="568" bestFit="1" customWidth="1"/>
    <col min="2313" max="2313" width="5" style="568" bestFit="1" customWidth="1"/>
    <col min="2314" max="2314" width="8.375" style="568" bestFit="1" customWidth="1"/>
    <col min="2315" max="2315" width="18.75" style="568" bestFit="1" customWidth="1"/>
    <col min="2316" max="2317" width="11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8" width="7.625" style="568" bestFit="1" customWidth="1"/>
    <col min="2569" max="2569" width="5" style="568" bestFit="1" customWidth="1"/>
    <col min="2570" max="2570" width="8.375" style="568" bestFit="1" customWidth="1"/>
    <col min="2571" max="2571" width="18.75" style="568" bestFit="1" customWidth="1"/>
    <col min="2572" max="2573" width="11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4" width="7.625" style="568" bestFit="1" customWidth="1"/>
    <col min="2825" max="2825" width="5" style="568" bestFit="1" customWidth="1"/>
    <col min="2826" max="2826" width="8.375" style="568" bestFit="1" customWidth="1"/>
    <col min="2827" max="2827" width="18.75" style="568" bestFit="1" customWidth="1"/>
    <col min="2828" max="2829" width="11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80" width="7.625" style="568" bestFit="1" customWidth="1"/>
    <col min="3081" max="3081" width="5" style="568" bestFit="1" customWidth="1"/>
    <col min="3082" max="3082" width="8.375" style="568" bestFit="1" customWidth="1"/>
    <col min="3083" max="3083" width="18.75" style="568" bestFit="1" customWidth="1"/>
    <col min="3084" max="3085" width="11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6" width="7.625" style="568" bestFit="1" customWidth="1"/>
    <col min="3337" max="3337" width="5" style="568" bestFit="1" customWidth="1"/>
    <col min="3338" max="3338" width="8.375" style="568" bestFit="1" customWidth="1"/>
    <col min="3339" max="3339" width="18.75" style="568" bestFit="1" customWidth="1"/>
    <col min="3340" max="3341" width="11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2" width="7.625" style="568" bestFit="1" customWidth="1"/>
    <col min="3593" max="3593" width="5" style="568" bestFit="1" customWidth="1"/>
    <col min="3594" max="3594" width="8.375" style="568" bestFit="1" customWidth="1"/>
    <col min="3595" max="3595" width="18.75" style="568" bestFit="1" customWidth="1"/>
    <col min="3596" max="3597" width="11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8" width="7.625" style="568" bestFit="1" customWidth="1"/>
    <col min="3849" max="3849" width="5" style="568" bestFit="1" customWidth="1"/>
    <col min="3850" max="3850" width="8.375" style="568" bestFit="1" customWidth="1"/>
    <col min="3851" max="3851" width="18.75" style="568" bestFit="1" customWidth="1"/>
    <col min="3852" max="3853" width="11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4" width="7.625" style="568" bestFit="1" customWidth="1"/>
    <col min="4105" max="4105" width="5" style="568" bestFit="1" customWidth="1"/>
    <col min="4106" max="4106" width="8.375" style="568" bestFit="1" customWidth="1"/>
    <col min="4107" max="4107" width="18.75" style="568" bestFit="1" customWidth="1"/>
    <col min="4108" max="4109" width="11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60" width="7.625" style="568" bestFit="1" customWidth="1"/>
    <col min="4361" max="4361" width="5" style="568" bestFit="1" customWidth="1"/>
    <col min="4362" max="4362" width="8.375" style="568" bestFit="1" customWidth="1"/>
    <col min="4363" max="4363" width="18.75" style="568" bestFit="1" customWidth="1"/>
    <col min="4364" max="4365" width="11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6" width="7.625" style="568" bestFit="1" customWidth="1"/>
    <col min="4617" max="4617" width="5" style="568" bestFit="1" customWidth="1"/>
    <col min="4618" max="4618" width="8.375" style="568" bestFit="1" customWidth="1"/>
    <col min="4619" max="4619" width="18.75" style="568" bestFit="1" customWidth="1"/>
    <col min="4620" max="4621" width="11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2" width="7.625" style="568" bestFit="1" customWidth="1"/>
    <col min="4873" max="4873" width="5" style="568" bestFit="1" customWidth="1"/>
    <col min="4874" max="4874" width="8.375" style="568" bestFit="1" customWidth="1"/>
    <col min="4875" max="4875" width="18.75" style="568" bestFit="1" customWidth="1"/>
    <col min="4876" max="4877" width="11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8" width="7.625" style="568" bestFit="1" customWidth="1"/>
    <col min="5129" max="5129" width="5" style="568" bestFit="1" customWidth="1"/>
    <col min="5130" max="5130" width="8.375" style="568" bestFit="1" customWidth="1"/>
    <col min="5131" max="5131" width="18.75" style="568" bestFit="1" customWidth="1"/>
    <col min="5132" max="5133" width="11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4" width="7.625" style="568" bestFit="1" customWidth="1"/>
    <col min="5385" max="5385" width="5" style="568" bestFit="1" customWidth="1"/>
    <col min="5386" max="5386" width="8.375" style="568" bestFit="1" customWidth="1"/>
    <col min="5387" max="5387" width="18.75" style="568" bestFit="1" customWidth="1"/>
    <col min="5388" max="5389" width="11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40" width="7.625" style="568" bestFit="1" customWidth="1"/>
    <col min="5641" max="5641" width="5" style="568" bestFit="1" customWidth="1"/>
    <col min="5642" max="5642" width="8.375" style="568" bestFit="1" customWidth="1"/>
    <col min="5643" max="5643" width="18.75" style="568" bestFit="1" customWidth="1"/>
    <col min="5644" max="5645" width="11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6" width="7.625" style="568" bestFit="1" customWidth="1"/>
    <col min="5897" max="5897" width="5" style="568" bestFit="1" customWidth="1"/>
    <col min="5898" max="5898" width="8.375" style="568" bestFit="1" customWidth="1"/>
    <col min="5899" max="5899" width="18.75" style="568" bestFit="1" customWidth="1"/>
    <col min="5900" max="5901" width="11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2" width="7.625" style="568" bestFit="1" customWidth="1"/>
    <col min="6153" max="6153" width="5" style="568" bestFit="1" customWidth="1"/>
    <col min="6154" max="6154" width="8.375" style="568" bestFit="1" customWidth="1"/>
    <col min="6155" max="6155" width="18.75" style="568" bestFit="1" customWidth="1"/>
    <col min="6156" max="6157" width="11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8" width="7.625" style="568" bestFit="1" customWidth="1"/>
    <col min="6409" max="6409" width="5" style="568" bestFit="1" customWidth="1"/>
    <col min="6410" max="6410" width="8.375" style="568" bestFit="1" customWidth="1"/>
    <col min="6411" max="6411" width="18.75" style="568" bestFit="1" customWidth="1"/>
    <col min="6412" max="6413" width="11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4" width="7.625" style="568" bestFit="1" customWidth="1"/>
    <col min="6665" max="6665" width="5" style="568" bestFit="1" customWidth="1"/>
    <col min="6666" max="6666" width="8.375" style="568" bestFit="1" customWidth="1"/>
    <col min="6667" max="6667" width="18.75" style="568" bestFit="1" customWidth="1"/>
    <col min="6668" max="6669" width="11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20" width="7.625" style="568" bestFit="1" customWidth="1"/>
    <col min="6921" max="6921" width="5" style="568" bestFit="1" customWidth="1"/>
    <col min="6922" max="6922" width="8.375" style="568" bestFit="1" customWidth="1"/>
    <col min="6923" max="6923" width="18.75" style="568" bestFit="1" customWidth="1"/>
    <col min="6924" max="6925" width="11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6" width="7.625" style="568" bestFit="1" customWidth="1"/>
    <col min="7177" max="7177" width="5" style="568" bestFit="1" customWidth="1"/>
    <col min="7178" max="7178" width="8.375" style="568" bestFit="1" customWidth="1"/>
    <col min="7179" max="7179" width="18.75" style="568" bestFit="1" customWidth="1"/>
    <col min="7180" max="7181" width="11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2" width="7.625" style="568" bestFit="1" customWidth="1"/>
    <col min="7433" max="7433" width="5" style="568" bestFit="1" customWidth="1"/>
    <col min="7434" max="7434" width="8.375" style="568" bestFit="1" customWidth="1"/>
    <col min="7435" max="7435" width="18.75" style="568" bestFit="1" customWidth="1"/>
    <col min="7436" max="7437" width="11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8" width="7.625" style="568" bestFit="1" customWidth="1"/>
    <col min="7689" max="7689" width="5" style="568" bestFit="1" customWidth="1"/>
    <col min="7690" max="7690" width="8.375" style="568" bestFit="1" customWidth="1"/>
    <col min="7691" max="7691" width="18.75" style="568" bestFit="1" customWidth="1"/>
    <col min="7692" max="7693" width="11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4" width="7.625" style="568" bestFit="1" customWidth="1"/>
    <col min="7945" max="7945" width="5" style="568" bestFit="1" customWidth="1"/>
    <col min="7946" max="7946" width="8.375" style="568" bestFit="1" customWidth="1"/>
    <col min="7947" max="7947" width="18.75" style="568" bestFit="1" customWidth="1"/>
    <col min="7948" max="7949" width="11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200" width="7.625" style="568" bestFit="1" customWidth="1"/>
    <col min="8201" max="8201" width="5" style="568" bestFit="1" customWidth="1"/>
    <col min="8202" max="8202" width="8.375" style="568" bestFit="1" customWidth="1"/>
    <col min="8203" max="8203" width="18.75" style="568" bestFit="1" customWidth="1"/>
    <col min="8204" max="8205" width="11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6" width="7.625" style="568" bestFit="1" customWidth="1"/>
    <col min="8457" max="8457" width="5" style="568" bestFit="1" customWidth="1"/>
    <col min="8458" max="8458" width="8.375" style="568" bestFit="1" customWidth="1"/>
    <col min="8459" max="8459" width="18.75" style="568" bestFit="1" customWidth="1"/>
    <col min="8460" max="8461" width="11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2" width="7.625" style="568" bestFit="1" customWidth="1"/>
    <col min="8713" max="8713" width="5" style="568" bestFit="1" customWidth="1"/>
    <col min="8714" max="8714" width="8.375" style="568" bestFit="1" customWidth="1"/>
    <col min="8715" max="8715" width="18.75" style="568" bestFit="1" customWidth="1"/>
    <col min="8716" max="8717" width="11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8" width="7.625" style="568" bestFit="1" customWidth="1"/>
    <col min="8969" max="8969" width="5" style="568" bestFit="1" customWidth="1"/>
    <col min="8970" max="8970" width="8.375" style="568" bestFit="1" customWidth="1"/>
    <col min="8971" max="8971" width="18.75" style="568" bestFit="1" customWidth="1"/>
    <col min="8972" max="8973" width="11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4" width="7.625" style="568" bestFit="1" customWidth="1"/>
    <col min="9225" max="9225" width="5" style="568" bestFit="1" customWidth="1"/>
    <col min="9226" max="9226" width="8.375" style="568" bestFit="1" customWidth="1"/>
    <col min="9227" max="9227" width="18.75" style="568" bestFit="1" customWidth="1"/>
    <col min="9228" max="9229" width="11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80" width="7.625" style="568" bestFit="1" customWidth="1"/>
    <col min="9481" max="9481" width="5" style="568" bestFit="1" customWidth="1"/>
    <col min="9482" max="9482" width="8.375" style="568" bestFit="1" customWidth="1"/>
    <col min="9483" max="9483" width="18.75" style="568" bestFit="1" customWidth="1"/>
    <col min="9484" max="9485" width="11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6" width="7.625" style="568" bestFit="1" customWidth="1"/>
    <col min="9737" max="9737" width="5" style="568" bestFit="1" customWidth="1"/>
    <col min="9738" max="9738" width="8.375" style="568" bestFit="1" customWidth="1"/>
    <col min="9739" max="9739" width="18.75" style="568" bestFit="1" customWidth="1"/>
    <col min="9740" max="9741" width="11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2" width="7.625" style="568" bestFit="1" customWidth="1"/>
    <col min="9993" max="9993" width="5" style="568" bestFit="1" customWidth="1"/>
    <col min="9994" max="9994" width="8.375" style="568" bestFit="1" customWidth="1"/>
    <col min="9995" max="9995" width="18.75" style="568" bestFit="1" customWidth="1"/>
    <col min="9996" max="9997" width="11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8" width="7.625" style="568" bestFit="1" customWidth="1"/>
    <col min="10249" max="10249" width="5" style="568" bestFit="1" customWidth="1"/>
    <col min="10250" max="10250" width="8.375" style="568" bestFit="1" customWidth="1"/>
    <col min="10251" max="10251" width="18.75" style="568" bestFit="1" customWidth="1"/>
    <col min="10252" max="10253" width="11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4" width="7.625" style="568" bestFit="1" customWidth="1"/>
    <col min="10505" max="10505" width="5" style="568" bestFit="1" customWidth="1"/>
    <col min="10506" max="10506" width="8.375" style="568" bestFit="1" customWidth="1"/>
    <col min="10507" max="10507" width="18.75" style="568" bestFit="1" customWidth="1"/>
    <col min="10508" max="10509" width="11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60" width="7.625" style="568" bestFit="1" customWidth="1"/>
    <col min="10761" max="10761" width="5" style="568" bestFit="1" customWidth="1"/>
    <col min="10762" max="10762" width="8.375" style="568" bestFit="1" customWidth="1"/>
    <col min="10763" max="10763" width="18.75" style="568" bestFit="1" customWidth="1"/>
    <col min="10764" max="10765" width="11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6" width="7.625" style="568" bestFit="1" customWidth="1"/>
    <col min="11017" max="11017" width="5" style="568" bestFit="1" customWidth="1"/>
    <col min="11018" max="11018" width="8.375" style="568" bestFit="1" customWidth="1"/>
    <col min="11019" max="11019" width="18.75" style="568" bestFit="1" customWidth="1"/>
    <col min="11020" max="11021" width="11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2" width="7.625" style="568" bestFit="1" customWidth="1"/>
    <col min="11273" max="11273" width="5" style="568" bestFit="1" customWidth="1"/>
    <col min="11274" max="11274" width="8.375" style="568" bestFit="1" customWidth="1"/>
    <col min="11275" max="11275" width="18.75" style="568" bestFit="1" customWidth="1"/>
    <col min="11276" max="11277" width="11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8" width="7.625" style="568" bestFit="1" customWidth="1"/>
    <col min="11529" max="11529" width="5" style="568" bestFit="1" customWidth="1"/>
    <col min="11530" max="11530" width="8.375" style="568" bestFit="1" customWidth="1"/>
    <col min="11531" max="11531" width="18.75" style="568" bestFit="1" customWidth="1"/>
    <col min="11532" max="11533" width="11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4" width="7.625" style="568" bestFit="1" customWidth="1"/>
    <col min="11785" max="11785" width="5" style="568" bestFit="1" customWidth="1"/>
    <col min="11786" max="11786" width="8.375" style="568" bestFit="1" customWidth="1"/>
    <col min="11787" max="11787" width="18.75" style="568" bestFit="1" customWidth="1"/>
    <col min="11788" max="11789" width="11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40" width="7.625" style="568" bestFit="1" customWidth="1"/>
    <col min="12041" max="12041" width="5" style="568" bestFit="1" customWidth="1"/>
    <col min="12042" max="12042" width="8.375" style="568" bestFit="1" customWidth="1"/>
    <col min="12043" max="12043" width="18.75" style="568" bestFit="1" customWidth="1"/>
    <col min="12044" max="12045" width="11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6" width="7.625" style="568" bestFit="1" customWidth="1"/>
    <col min="12297" max="12297" width="5" style="568" bestFit="1" customWidth="1"/>
    <col min="12298" max="12298" width="8.375" style="568" bestFit="1" customWidth="1"/>
    <col min="12299" max="12299" width="18.75" style="568" bestFit="1" customWidth="1"/>
    <col min="12300" max="12301" width="11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2" width="7.625" style="568" bestFit="1" customWidth="1"/>
    <col min="12553" max="12553" width="5" style="568" bestFit="1" customWidth="1"/>
    <col min="12554" max="12554" width="8.375" style="568" bestFit="1" customWidth="1"/>
    <col min="12555" max="12555" width="18.75" style="568" bestFit="1" customWidth="1"/>
    <col min="12556" max="12557" width="11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8" width="7.625" style="568" bestFit="1" customWidth="1"/>
    <col min="12809" max="12809" width="5" style="568" bestFit="1" customWidth="1"/>
    <col min="12810" max="12810" width="8.375" style="568" bestFit="1" customWidth="1"/>
    <col min="12811" max="12811" width="18.75" style="568" bestFit="1" customWidth="1"/>
    <col min="12812" max="12813" width="11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4" width="7.625" style="568" bestFit="1" customWidth="1"/>
    <col min="13065" max="13065" width="5" style="568" bestFit="1" customWidth="1"/>
    <col min="13066" max="13066" width="8.375" style="568" bestFit="1" customWidth="1"/>
    <col min="13067" max="13067" width="18.75" style="568" bestFit="1" customWidth="1"/>
    <col min="13068" max="13069" width="11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20" width="7.625" style="568" bestFit="1" customWidth="1"/>
    <col min="13321" max="13321" width="5" style="568" bestFit="1" customWidth="1"/>
    <col min="13322" max="13322" width="8.375" style="568" bestFit="1" customWidth="1"/>
    <col min="13323" max="13323" width="18.75" style="568" bestFit="1" customWidth="1"/>
    <col min="13324" max="13325" width="11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6" width="7.625" style="568" bestFit="1" customWidth="1"/>
    <col min="13577" max="13577" width="5" style="568" bestFit="1" customWidth="1"/>
    <col min="13578" max="13578" width="8.375" style="568" bestFit="1" customWidth="1"/>
    <col min="13579" max="13579" width="18.75" style="568" bestFit="1" customWidth="1"/>
    <col min="13580" max="13581" width="11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2" width="7.625" style="568" bestFit="1" customWidth="1"/>
    <col min="13833" max="13833" width="5" style="568" bestFit="1" customWidth="1"/>
    <col min="13834" max="13834" width="8.375" style="568" bestFit="1" customWidth="1"/>
    <col min="13835" max="13835" width="18.75" style="568" bestFit="1" customWidth="1"/>
    <col min="13836" max="13837" width="11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8" width="7.625" style="568" bestFit="1" customWidth="1"/>
    <col min="14089" max="14089" width="5" style="568" bestFit="1" customWidth="1"/>
    <col min="14090" max="14090" width="8.375" style="568" bestFit="1" customWidth="1"/>
    <col min="14091" max="14091" width="18.75" style="568" bestFit="1" customWidth="1"/>
    <col min="14092" max="14093" width="11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4" width="7.625" style="568" bestFit="1" customWidth="1"/>
    <col min="14345" max="14345" width="5" style="568" bestFit="1" customWidth="1"/>
    <col min="14346" max="14346" width="8.375" style="568" bestFit="1" customWidth="1"/>
    <col min="14347" max="14347" width="18.75" style="568" bestFit="1" customWidth="1"/>
    <col min="14348" max="14349" width="11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600" width="7.625" style="568" bestFit="1" customWidth="1"/>
    <col min="14601" max="14601" width="5" style="568" bestFit="1" customWidth="1"/>
    <col min="14602" max="14602" width="8.375" style="568" bestFit="1" customWidth="1"/>
    <col min="14603" max="14603" width="18.75" style="568" bestFit="1" customWidth="1"/>
    <col min="14604" max="14605" width="11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6" width="7.625" style="568" bestFit="1" customWidth="1"/>
    <col min="14857" max="14857" width="5" style="568" bestFit="1" customWidth="1"/>
    <col min="14858" max="14858" width="8.375" style="568" bestFit="1" customWidth="1"/>
    <col min="14859" max="14859" width="18.75" style="568" bestFit="1" customWidth="1"/>
    <col min="14860" max="14861" width="11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2" width="7.625" style="568" bestFit="1" customWidth="1"/>
    <col min="15113" max="15113" width="5" style="568" bestFit="1" customWidth="1"/>
    <col min="15114" max="15114" width="8.375" style="568" bestFit="1" customWidth="1"/>
    <col min="15115" max="15115" width="18.75" style="568" bestFit="1" customWidth="1"/>
    <col min="15116" max="15117" width="11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8" width="7.625" style="568" bestFit="1" customWidth="1"/>
    <col min="15369" max="15369" width="5" style="568" bestFit="1" customWidth="1"/>
    <col min="15370" max="15370" width="8.375" style="568" bestFit="1" customWidth="1"/>
    <col min="15371" max="15371" width="18.75" style="568" bestFit="1" customWidth="1"/>
    <col min="15372" max="15373" width="11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4" width="7.625" style="568" bestFit="1" customWidth="1"/>
    <col min="15625" max="15625" width="5" style="568" bestFit="1" customWidth="1"/>
    <col min="15626" max="15626" width="8.375" style="568" bestFit="1" customWidth="1"/>
    <col min="15627" max="15627" width="18.75" style="568" bestFit="1" customWidth="1"/>
    <col min="15628" max="15629" width="11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80" width="7.625" style="568" bestFit="1" customWidth="1"/>
    <col min="15881" max="15881" width="5" style="568" bestFit="1" customWidth="1"/>
    <col min="15882" max="15882" width="8.375" style="568" bestFit="1" customWidth="1"/>
    <col min="15883" max="15883" width="18.75" style="568" bestFit="1" customWidth="1"/>
    <col min="15884" max="15885" width="11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6" width="7.625" style="568" bestFit="1" customWidth="1"/>
    <col min="16137" max="16137" width="5" style="568" bestFit="1" customWidth="1"/>
    <col min="16138" max="16138" width="8.375" style="568" bestFit="1" customWidth="1"/>
    <col min="16139" max="16139" width="18.75" style="568" bestFit="1" customWidth="1"/>
    <col min="16140" max="16141" width="11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785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401</v>
      </c>
      <c r="J9" s="567" t="s">
        <v>327</v>
      </c>
      <c r="K9" s="567" t="s">
        <v>329</v>
      </c>
      <c r="L9" s="567" t="s">
        <v>330</v>
      </c>
      <c r="M9" s="567" t="s">
        <v>331</v>
      </c>
      <c r="N9" s="567" t="s">
        <v>1011</v>
      </c>
      <c r="O9" s="567" t="s">
        <v>1012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0.15666666666666665</v>
      </c>
      <c r="E10" s="567">
        <v>108288</v>
      </c>
      <c r="F10" s="567" t="s">
        <v>1001</v>
      </c>
      <c r="G10" s="567" t="s">
        <v>326</v>
      </c>
      <c r="H10" s="567">
        <v>0</v>
      </c>
      <c r="I10" s="567">
        <v>401</v>
      </c>
      <c r="J10" s="567" t="s">
        <v>327</v>
      </c>
      <c r="K10" s="567" t="s">
        <v>329</v>
      </c>
      <c r="L10" s="567" t="s">
        <v>330</v>
      </c>
      <c r="M10" s="567" t="s">
        <v>331</v>
      </c>
      <c r="N10" s="567" t="s">
        <v>1011</v>
      </c>
      <c r="O10" s="567" t="s">
        <v>1012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0.16666666666666666</v>
      </c>
      <c r="E11" s="567">
        <v>6912</v>
      </c>
      <c r="F11" s="567" t="s">
        <v>335</v>
      </c>
      <c r="G11" s="567">
        <v>0</v>
      </c>
      <c r="H11" s="567" t="s">
        <v>326</v>
      </c>
      <c r="I11" s="567" t="s">
        <v>336</v>
      </c>
      <c r="J11" s="567">
        <v>0</v>
      </c>
      <c r="K11" s="567" t="s">
        <v>337</v>
      </c>
      <c r="L11" s="567">
        <v>45</v>
      </c>
      <c r="M11" s="567">
        <v>1</v>
      </c>
    </row>
    <row r="12" spans="1:18" ht="15" x14ac:dyDescent="0.2">
      <c r="A12" s="567"/>
      <c r="B12" s="567"/>
      <c r="C12" s="567"/>
      <c r="D12" s="569">
        <v>0.17013888888888887</v>
      </c>
      <c r="E12" s="567">
        <v>0</v>
      </c>
      <c r="F12" s="567" t="s">
        <v>1001</v>
      </c>
      <c r="G12" s="567" t="s">
        <v>326</v>
      </c>
      <c r="H12" s="567">
        <v>0</v>
      </c>
      <c r="I12" s="567">
        <v>97</v>
      </c>
      <c r="J12" s="567" t="s">
        <v>327</v>
      </c>
      <c r="K12" s="567" t="s">
        <v>1002</v>
      </c>
      <c r="L12" s="567" t="s">
        <v>1003</v>
      </c>
      <c r="M12" s="567" t="s">
        <v>1004</v>
      </c>
      <c r="N12" s="567" t="s">
        <v>1011</v>
      </c>
      <c r="O12" s="567" t="s">
        <v>1012</v>
      </c>
      <c r="P12" s="567" t="s">
        <v>1007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0.29873842592592592</v>
      </c>
      <c r="E13" s="567">
        <v>88888</v>
      </c>
      <c r="F13" s="567" t="s">
        <v>1001</v>
      </c>
      <c r="G13" s="567" t="s">
        <v>326</v>
      </c>
      <c r="H13" s="567">
        <v>0</v>
      </c>
      <c r="I13" s="567">
        <v>97</v>
      </c>
      <c r="J13" s="567" t="s">
        <v>327</v>
      </c>
      <c r="K13" s="567" t="s">
        <v>1002</v>
      </c>
      <c r="L13" s="567" t="s">
        <v>1003</v>
      </c>
      <c r="M13" s="567" t="s">
        <v>1004</v>
      </c>
      <c r="N13" s="567" t="s">
        <v>1011</v>
      </c>
      <c r="O13" s="567" t="s">
        <v>1012</v>
      </c>
      <c r="P13" s="567" t="s">
        <v>1009</v>
      </c>
      <c r="Q13" s="567" t="s">
        <v>1008</v>
      </c>
      <c r="R13" s="567">
        <v>80</v>
      </c>
    </row>
    <row r="14" spans="1:18" ht="15" x14ac:dyDescent="0.2">
      <c r="A14" s="567"/>
      <c r="B14" s="567"/>
      <c r="C14" s="567"/>
      <c r="D14" s="569">
        <v>0.30694444444444441</v>
      </c>
      <c r="E14" s="567">
        <v>5672</v>
      </c>
      <c r="F14" s="567" t="s">
        <v>1001</v>
      </c>
      <c r="G14" s="567" t="s">
        <v>326</v>
      </c>
      <c r="H14" s="567">
        <v>0</v>
      </c>
      <c r="I14" s="567">
        <v>39</v>
      </c>
      <c r="J14" s="567" t="s">
        <v>327</v>
      </c>
      <c r="K14" s="567" t="s">
        <v>1002</v>
      </c>
      <c r="L14" s="567" t="s">
        <v>1003</v>
      </c>
      <c r="M14" s="567" t="s">
        <v>1004</v>
      </c>
      <c r="N14" s="567" t="s">
        <v>1011</v>
      </c>
      <c r="O14" s="567" t="s">
        <v>1012</v>
      </c>
      <c r="P14" s="567" t="s">
        <v>1007</v>
      </c>
      <c r="Q14" s="567" t="s">
        <v>1008</v>
      </c>
      <c r="R14" s="567">
        <v>80</v>
      </c>
    </row>
    <row r="15" spans="1:18" ht="15" x14ac:dyDescent="0.2">
      <c r="A15" s="567"/>
      <c r="B15" s="567"/>
      <c r="C15" s="567"/>
      <c r="D15" s="569">
        <v>0.33109953703703704</v>
      </c>
      <c r="E15" s="567">
        <v>16696</v>
      </c>
      <c r="F15" s="567" t="s">
        <v>1001</v>
      </c>
      <c r="G15" s="567" t="s">
        <v>326</v>
      </c>
      <c r="H15" s="567">
        <v>0</v>
      </c>
      <c r="I15" s="567">
        <v>39</v>
      </c>
      <c r="J15" s="567" t="s">
        <v>327</v>
      </c>
      <c r="K15" s="567" t="s">
        <v>1002</v>
      </c>
      <c r="L15" s="567" t="s">
        <v>1003</v>
      </c>
      <c r="M15" s="567" t="s">
        <v>1004</v>
      </c>
      <c r="N15" s="567" t="s">
        <v>1011</v>
      </c>
      <c r="O15" s="567" t="s">
        <v>1012</v>
      </c>
      <c r="P15" s="567" t="s">
        <v>1009</v>
      </c>
      <c r="Q15" s="567" t="s">
        <v>1008</v>
      </c>
      <c r="R15" s="567">
        <v>80</v>
      </c>
    </row>
    <row r="16" spans="1:18" ht="15" x14ac:dyDescent="0.2">
      <c r="A16" s="567"/>
      <c r="B16" s="567"/>
      <c r="C16" s="567"/>
      <c r="D16" s="569">
        <v>0.33109953703703704</v>
      </c>
      <c r="E16" s="567">
        <v>0</v>
      </c>
      <c r="F16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7" width="7.625" style="568" bestFit="1" customWidth="1"/>
    <col min="8" max="8" width="2.25" style="568" bestFit="1" customWidth="1"/>
    <col min="9" max="9" width="4.375" style="568" bestFit="1" customWidth="1"/>
    <col min="10" max="10" width="8.375" style="568" bestFit="1" customWidth="1"/>
    <col min="11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3" width="7.625" style="568" bestFit="1" customWidth="1"/>
    <col min="264" max="264" width="2.25" style="568" bestFit="1" customWidth="1"/>
    <col min="265" max="265" width="4.375" style="568" bestFit="1" customWidth="1"/>
    <col min="266" max="266" width="8.375" style="568" bestFit="1" customWidth="1"/>
    <col min="267" max="269" width="8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19" width="7.625" style="568" bestFit="1" customWidth="1"/>
    <col min="520" max="520" width="2.25" style="568" bestFit="1" customWidth="1"/>
    <col min="521" max="521" width="4.375" style="568" bestFit="1" customWidth="1"/>
    <col min="522" max="522" width="8.375" style="568" bestFit="1" customWidth="1"/>
    <col min="523" max="525" width="8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5" width="7.625" style="568" bestFit="1" customWidth="1"/>
    <col min="776" max="776" width="2.25" style="568" bestFit="1" customWidth="1"/>
    <col min="777" max="777" width="4.375" style="568" bestFit="1" customWidth="1"/>
    <col min="778" max="778" width="8.375" style="568" bestFit="1" customWidth="1"/>
    <col min="779" max="781" width="8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1" width="7.625" style="568" bestFit="1" customWidth="1"/>
    <col min="1032" max="1032" width="2.25" style="568" bestFit="1" customWidth="1"/>
    <col min="1033" max="1033" width="4.375" style="568" bestFit="1" customWidth="1"/>
    <col min="1034" max="1034" width="8.375" style="568" bestFit="1" customWidth="1"/>
    <col min="1035" max="1037" width="8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7" width="7.625" style="568" bestFit="1" customWidth="1"/>
    <col min="1288" max="1288" width="2.25" style="568" bestFit="1" customWidth="1"/>
    <col min="1289" max="1289" width="4.375" style="568" bestFit="1" customWidth="1"/>
    <col min="1290" max="1290" width="8.375" style="568" bestFit="1" customWidth="1"/>
    <col min="1291" max="1293" width="8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3" width="7.625" style="568" bestFit="1" customWidth="1"/>
    <col min="1544" max="1544" width="2.25" style="568" bestFit="1" customWidth="1"/>
    <col min="1545" max="1545" width="4.375" style="568" bestFit="1" customWidth="1"/>
    <col min="1546" max="1546" width="8.375" style="568" bestFit="1" customWidth="1"/>
    <col min="1547" max="1549" width="8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799" width="7.625" style="568" bestFit="1" customWidth="1"/>
    <col min="1800" max="1800" width="2.25" style="568" bestFit="1" customWidth="1"/>
    <col min="1801" max="1801" width="4.375" style="568" bestFit="1" customWidth="1"/>
    <col min="1802" max="1802" width="8.375" style="568" bestFit="1" customWidth="1"/>
    <col min="1803" max="1805" width="8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5" width="7.625" style="568" bestFit="1" customWidth="1"/>
    <col min="2056" max="2056" width="2.25" style="568" bestFit="1" customWidth="1"/>
    <col min="2057" max="2057" width="4.375" style="568" bestFit="1" customWidth="1"/>
    <col min="2058" max="2058" width="8.375" style="568" bestFit="1" customWidth="1"/>
    <col min="2059" max="2061" width="8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1" width="7.625" style="568" bestFit="1" customWidth="1"/>
    <col min="2312" max="2312" width="2.25" style="568" bestFit="1" customWidth="1"/>
    <col min="2313" max="2313" width="4.375" style="568" bestFit="1" customWidth="1"/>
    <col min="2314" max="2314" width="8.375" style="568" bestFit="1" customWidth="1"/>
    <col min="2315" max="2317" width="8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7" width="7.625" style="568" bestFit="1" customWidth="1"/>
    <col min="2568" max="2568" width="2.25" style="568" bestFit="1" customWidth="1"/>
    <col min="2569" max="2569" width="4.375" style="568" bestFit="1" customWidth="1"/>
    <col min="2570" max="2570" width="8.375" style="568" bestFit="1" customWidth="1"/>
    <col min="2571" max="2573" width="8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3" width="7.625" style="568" bestFit="1" customWidth="1"/>
    <col min="2824" max="2824" width="2.25" style="568" bestFit="1" customWidth="1"/>
    <col min="2825" max="2825" width="4.375" style="568" bestFit="1" customWidth="1"/>
    <col min="2826" max="2826" width="8.375" style="568" bestFit="1" customWidth="1"/>
    <col min="2827" max="2829" width="8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79" width="7.625" style="568" bestFit="1" customWidth="1"/>
    <col min="3080" max="3080" width="2.25" style="568" bestFit="1" customWidth="1"/>
    <col min="3081" max="3081" width="4.375" style="568" bestFit="1" customWidth="1"/>
    <col min="3082" max="3082" width="8.375" style="568" bestFit="1" customWidth="1"/>
    <col min="3083" max="3085" width="8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5" width="7.625" style="568" bestFit="1" customWidth="1"/>
    <col min="3336" max="3336" width="2.25" style="568" bestFit="1" customWidth="1"/>
    <col min="3337" max="3337" width="4.375" style="568" bestFit="1" customWidth="1"/>
    <col min="3338" max="3338" width="8.375" style="568" bestFit="1" customWidth="1"/>
    <col min="3339" max="3341" width="8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1" width="7.625" style="568" bestFit="1" customWidth="1"/>
    <col min="3592" max="3592" width="2.25" style="568" bestFit="1" customWidth="1"/>
    <col min="3593" max="3593" width="4.375" style="568" bestFit="1" customWidth="1"/>
    <col min="3594" max="3594" width="8.375" style="568" bestFit="1" customWidth="1"/>
    <col min="3595" max="3597" width="8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7" width="7.625" style="568" bestFit="1" customWidth="1"/>
    <col min="3848" max="3848" width="2.25" style="568" bestFit="1" customWidth="1"/>
    <col min="3849" max="3849" width="4.375" style="568" bestFit="1" customWidth="1"/>
    <col min="3850" max="3850" width="8.375" style="568" bestFit="1" customWidth="1"/>
    <col min="3851" max="3853" width="8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3" width="7.625" style="568" bestFit="1" customWidth="1"/>
    <col min="4104" max="4104" width="2.25" style="568" bestFit="1" customWidth="1"/>
    <col min="4105" max="4105" width="4.375" style="568" bestFit="1" customWidth="1"/>
    <col min="4106" max="4106" width="8.375" style="568" bestFit="1" customWidth="1"/>
    <col min="4107" max="4109" width="8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59" width="7.625" style="568" bestFit="1" customWidth="1"/>
    <col min="4360" max="4360" width="2.25" style="568" bestFit="1" customWidth="1"/>
    <col min="4361" max="4361" width="4.375" style="568" bestFit="1" customWidth="1"/>
    <col min="4362" max="4362" width="8.375" style="568" bestFit="1" customWidth="1"/>
    <col min="4363" max="4365" width="8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5" width="7.625" style="568" bestFit="1" customWidth="1"/>
    <col min="4616" max="4616" width="2.25" style="568" bestFit="1" customWidth="1"/>
    <col min="4617" max="4617" width="4.375" style="568" bestFit="1" customWidth="1"/>
    <col min="4618" max="4618" width="8.375" style="568" bestFit="1" customWidth="1"/>
    <col min="4619" max="4621" width="8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1" width="7.625" style="568" bestFit="1" customWidth="1"/>
    <col min="4872" max="4872" width="2.25" style="568" bestFit="1" customWidth="1"/>
    <col min="4873" max="4873" width="4.375" style="568" bestFit="1" customWidth="1"/>
    <col min="4874" max="4874" width="8.375" style="568" bestFit="1" customWidth="1"/>
    <col min="4875" max="4877" width="8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7" width="7.625" style="568" bestFit="1" customWidth="1"/>
    <col min="5128" max="5128" width="2.25" style="568" bestFit="1" customWidth="1"/>
    <col min="5129" max="5129" width="4.375" style="568" bestFit="1" customWidth="1"/>
    <col min="5130" max="5130" width="8.375" style="568" bestFit="1" customWidth="1"/>
    <col min="5131" max="5133" width="8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3" width="7.625" style="568" bestFit="1" customWidth="1"/>
    <col min="5384" max="5384" width="2.25" style="568" bestFit="1" customWidth="1"/>
    <col min="5385" max="5385" width="4.375" style="568" bestFit="1" customWidth="1"/>
    <col min="5386" max="5386" width="8.375" style="568" bestFit="1" customWidth="1"/>
    <col min="5387" max="5389" width="8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39" width="7.625" style="568" bestFit="1" customWidth="1"/>
    <col min="5640" max="5640" width="2.25" style="568" bestFit="1" customWidth="1"/>
    <col min="5641" max="5641" width="4.375" style="568" bestFit="1" customWidth="1"/>
    <col min="5642" max="5642" width="8.375" style="568" bestFit="1" customWidth="1"/>
    <col min="5643" max="5645" width="8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5" width="7.625" style="568" bestFit="1" customWidth="1"/>
    <col min="5896" max="5896" width="2.25" style="568" bestFit="1" customWidth="1"/>
    <col min="5897" max="5897" width="4.375" style="568" bestFit="1" customWidth="1"/>
    <col min="5898" max="5898" width="8.375" style="568" bestFit="1" customWidth="1"/>
    <col min="5899" max="5901" width="8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1" width="7.625" style="568" bestFit="1" customWidth="1"/>
    <col min="6152" max="6152" width="2.25" style="568" bestFit="1" customWidth="1"/>
    <col min="6153" max="6153" width="4.375" style="568" bestFit="1" customWidth="1"/>
    <col min="6154" max="6154" width="8.375" style="568" bestFit="1" customWidth="1"/>
    <col min="6155" max="6157" width="8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7" width="7.625" style="568" bestFit="1" customWidth="1"/>
    <col min="6408" max="6408" width="2.25" style="568" bestFit="1" customWidth="1"/>
    <col min="6409" max="6409" width="4.375" style="568" bestFit="1" customWidth="1"/>
    <col min="6410" max="6410" width="8.375" style="568" bestFit="1" customWidth="1"/>
    <col min="6411" max="6413" width="8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3" width="7.625" style="568" bestFit="1" customWidth="1"/>
    <col min="6664" max="6664" width="2.25" style="568" bestFit="1" customWidth="1"/>
    <col min="6665" max="6665" width="4.375" style="568" bestFit="1" customWidth="1"/>
    <col min="6666" max="6666" width="8.375" style="568" bestFit="1" customWidth="1"/>
    <col min="6667" max="6669" width="8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19" width="7.625" style="568" bestFit="1" customWidth="1"/>
    <col min="6920" max="6920" width="2.25" style="568" bestFit="1" customWidth="1"/>
    <col min="6921" max="6921" width="4.375" style="568" bestFit="1" customWidth="1"/>
    <col min="6922" max="6922" width="8.375" style="568" bestFit="1" customWidth="1"/>
    <col min="6923" max="6925" width="8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5" width="7.625" style="568" bestFit="1" customWidth="1"/>
    <col min="7176" max="7176" width="2.25" style="568" bestFit="1" customWidth="1"/>
    <col min="7177" max="7177" width="4.375" style="568" bestFit="1" customWidth="1"/>
    <col min="7178" max="7178" width="8.375" style="568" bestFit="1" customWidth="1"/>
    <col min="7179" max="7181" width="8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1" width="7.625" style="568" bestFit="1" customWidth="1"/>
    <col min="7432" max="7432" width="2.25" style="568" bestFit="1" customWidth="1"/>
    <col min="7433" max="7433" width="4.375" style="568" bestFit="1" customWidth="1"/>
    <col min="7434" max="7434" width="8.375" style="568" bestFit="1" customWidth="1"/>
    <col min="7435" max="7437" width="8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7" width="7.625" style="568" bestFit="1" customWidth="1"/>
    <col min="7688" max="7688" width="2.25" style="568" bestFit="1" customWidth="1"/>
    <col min="7689" max="7689" width="4.375" style="568" bestFit="1" customWidth="1"/>
    <col min="7690" max="7690" width="8.375" style="568" bestFit="1" customWidth="1"/>
    <col min="7691" max="7693" width="8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3" width="7.625" style="568" bestFit="1" customWidth="1"/>
    <col min="7944" max="7944" width="2.25" style="568" bestFit="1" customWidth="1"/>
    <col min="7945" max="7945" width="4.375" style="568" bestFit="1" customWidth="1"/>
    <col min="7946" max="7946" width="8.375" style="568" bestFit="1" customWidth="1"/>
    <col min="7947" max="7949" width="8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199" width="7.625" style="568" bestFit="1" customWidth="1"/>
    <col min="8200" max="8200" width="2.25" style="568" bestFit="1" customWidth="1"/>
    <col min="8201" max="8201" width="4.375" style="568" bestFit="1" customWidth="1"/>
    <col min="8202" max="8202" width="8.375" style="568" bestFit="1" customWidth="1"/>
    <col min="8203" max="8205" width="8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5" width="7.625" style="568" bestFit="1" customWidth="1"/>
    <col min="8456" max="8456" width="2.25" style="568" bestFit="1" customWidth="1"/>
    <col min="8457" max="8457" width="4.375" style="568" bestFit="1" customWidth="1"/>
    <col min="8458" max="8458" width="8.375" style="568" bestFit="1" customWidth="1"/>
    <col min="8459" max="8461" width="8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1" width="7.625" style="568" bestFit="1" customWidth="1"/>
    <col min="8712" max="8712" width="2.25" style="568" bestFit="1" customWidth="1"/>
    <col min="8713" max="8713" width="4.375" style="568" bestFit="1" customWidth="1"/>
    <col min="8714" max="8714" width="8.375" style="568" bestFit="1" customWidth="1"/>
    <col min="8715" max="8717" width="8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7" width="7.625" style="568" bestFit="1" customWidth="1"/>
    <col min="8968" max="8968" width="2.25" style="568" bestFit="1" customWidth="1"/>
    <col min="8969" max="8969" width="4.375" style="568" bestFit="1" customWidth="1"/>
    <col min="8970" max="8970" width="8.375" style="568" bestFit="1" customWidth="1"/>
    <col min="8971" max="8973" width="8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3" width="7.625" style="568" bestFit="1" customWidth="1"/>
    <col min="9224" max="9224" width="2.25" style="568" bestFit="1" customWidth="1"/>
    <col min="9225" max="9225" width="4.375" style="568" bestFit="1" customWidth="1"/>
    <col min="9226" max="9226" width="8.375" style="568" bestFit="1" customWidth="1"/>
    <col min="9227" max="9229" width="8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79" width="7.625" style="568" bestFit="1" customWidth="1"/>
    <col min="9480" max="9480" width="2.25" style="568" bestFit="1" customWidth="1"/>
    <col min="9481" max="9481" width="4.375" style="568" bestFit="1" customWidth="1"/>
    <col min="9482" max="9482" width="8.375" style="568" bestFit="1" customWidth="1"/>
    <col min="9483" max="9485" width="8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5" width="7.625" style="568" bestFit="1" customWidth="1"/>
    <col min="9736" max="9736" width="2.25" style="568" bestFit="1" customWidth="1"/>
    <col min="9737" max="9737" width="4.375" style="568" bestFit="1" customWidth="1"/>
    <col min="9738" max="9738" width="8.375" style="568" bestFit="1" customWidth="1"/>
    <col min="9739" max="9741" width="8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1" width="7.625" style="568" bestFit="1" customWidth="1"/>
    <col min="9992" max="9992" width="2.25" style="568" bestFit="1" customWidth="1"/>
    <col min="9993" max="9993" width="4.375" style="568" bestFit="1" customWidth="1"/>
    <col min="9994" max="9994" width="8.375" style="568" bestFit="1" customWidth="1"/>
    <col min="9995" max="9997" width="8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7" width="7.625" style="568" bestFit="1" customWidth="1"/>
    <col min="10248" max="10248" width="2.25" style="568" bestFit="1" customWidth="1"/>
    <col min="10249" max="10249" width="4.375" style="568" bestFit="1" customWidth="1"/>
    <col min="10250" max="10250" width="8.375" style="568" bestFit="1" customWidth="1"/>
    <col min="10251" max="10253" width="8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3" width="7.625" style="568" bestFit="1" customWidth="1"/>
    <col min="10504" max="10504" width="2.25" style="568" bestFit="1" customWidth="1"/>
    <col min="10505" max="10505" width="4.375" style="568" bestFit="1" customWidth="1"/>
    <col min="10506" max="10506" width="8.375" style="568" bestFit="1" customWidth="1"/>
    <col min="10507" max="10509" width="8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59" width="7.625" style="568" bestFit="1" customWidth="1"/>
    <col min="10760" max="10760" width="2.25" style="568" bestFit="1" customWidth="1"/>
    <col min="10761" max="10761" width="4.375" style="568" bestFit="1" customWidth="1"/>
    <col min="10762" max="10762" width="8.375" style="568" bestFit="1" customWidth="1"/>
    <col min="10763" max="10765" width="8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5" width="7.625" style="568" bestFit="1" customWidth="1"/>
    <col min="11016" max="11016" width="2.25" style="568" bestFit="1" customWidth="1"/>
    <col min="11017" max="11017" width="4.375" style="568" bestFit="1" customWidth="1"/>
    <col min="11018" max="11018" width="8.375" style="568" bestFit="1" customWidth="1"/>
    <col min="11019" max="11021" width="8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1" width="7.625" style="568" bestFit="1" customWidth="1"/>
    <col min="11272" max="11272" width="2.25" style="568" bestFit="1" customWidth="1"/>
    <col min="11273" max="11273" width="4.375" style="568" bestFit="1" customWidth="1"/>
    <col min="11274" max="11274" width="8.375" style="568" bestFit="1" customWidth="1"/>
    <col min="11275" max="11277" width="8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7" width="7.625" style="568" bestFit="1" customWidth="1"/>
    <col min="11528" max="11528" width="2.25" style="568" bestFit="1" customWidth="1"/>
    <col min="11529" max="11529" width="4.375" style="568" bestFit="1" customWidth="1"/>
    <col min="11530" max="11530" width="8.375" style="568" bestFit="1" customWidth="1"/>
    <col min="11531" max="11533" width="8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3" width="7.625" style="568" bestFit="1" customWidth="1"/>
    <col min="11784" max="11784" width="2.25" style="568" bestFit="1" customWidth="1"/>
    <col min="11785" max="11785" width="4.375" style="568" bestFit="1" customWidth="1"/>
    <col min="11786" max="11786" width="8.375" style="568" bestFit="1" customWidth="1"/>
    <col min="11787" max="11789" width="8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39" width="7.625" style="568" bestFit="1" customWidth="1"/>
    <col min="12040" max="12040" width="2.25" style="568" bestFit="1" customWidth="1"/>
    <col min="12041" max="12041" width="4.375" style="568" bestFit="1" customWidth="1"/>
    <col min="12042" max="12042" width="8.375" style="568" bestFit="1" customWidth="1"/>
    <col min="12043" max="12045" width="8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5" width="7.625" style="568" bestFit="1" customWidth="1"/>
    <col min="12296" max="12296" width="2.25" style="568" bestFit="1" customWidth="1"/>
    <col min="12297" max="12297" width="4.375" style="568" bestFit="1" customWidth="1"/>
    <col min="12298" max="12298" width="8.375" style="568" bestFit="1" customWidth="1"/>
    <col min="12299" max="12301" width="8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1" width="7.625" style="568" bestFit="1" customWidth="1"/>
    <col min="12552" max="12552" width="2.25" style="568" bestFit="1" customWidth="1"/>
    <col min="12553" max="12553" width="4.375" style="568" bestFit="1" customWidth="1"/>
    <col min="12554" max="12554" width="8.375" style="568" bestFit="1" customWidth="1"/>
    <col min="12555" max="12557" width="8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7" width="7.625" style="568" bestFit="1" customWidth="1"/>
    <col min="12808" max="12808" width="2.25" style="568" bestFit="1" customWidth="1"/>
    <col min="12809" max="12809" width="4.375" style="568" bestFit="1" customWidth="1"/>
    <col min="12810" max="12810" width="8.375" style="568" bestFit="1" customWidth="1"/>
    <col min="12811" max="12813" width="8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3" width="7.625" style="568" bestFit="1" customWidth="1"/>
    <col min="13064" max="13064" width="2.25" style="568" bestFit="1" customWidth="1"/>
    <col min="13065" max="13065" width="4.375" style="568" bestFit="1" customWidth="1"/>
    <col min="13066" max="13066" width="8.375" style="568" bestFit="1" customWidth="1"/>
    <col min="13067" max="13069" width="8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19" width="7.625" style="568" bestFit="1" customWidth="1"/>
    <col min="13320" max="13320" width="2.25" style="568" bestFit="1" customWidth="1"/>
    <col min="13321" max="13321" width="4.375" style="568" bestFit="1" customWidth="1"/>
    <col min="13322" max="13322" width="8.375" style="568" bestFit="1" customWidth="1"/>
    <col min="13323" max="13325" width="8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5" width="7.625" style="568" bestFit="1" customWidth="1"/>
    <col min="13576" max="13576" width="2.25" style="568" bestFit="1" customWidth="1"/>
    <col min="13577" max="13577" width="4.375" style="568" bestFit="1" customWidth="1"/>
    <col min="13578" max="13578" width="8.375" style="568" bestFit="1" customWidth="1"/>
    <col min="13579" max="13581" width="8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1" width="7.625" style="568" bestFit="1" customWidth="1"/>
    <col min="13832" max="13832" width="2.25" style="568" bestFit="1" customWidth="1"/>
    <col min="13833" max="13833" width="4.375" style="568" bestFit="1" customWidth="1"/>
    <col min="13834" max="13834" width="8.375" style="568" bestFit="1" customWidth="1"/>
    <col min="13835" max="13837" width="8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7" width="7.625" style="568" bestFit="1" customWidth="1"/>
    <col min="14088" max="14088" width="2.25" style="568" bestFit="1" customWidth="1"/>
    <col min="14089" max="14089" width="4.375" style="568" bestFit="1" customWidth="1"/>
    <col min="14090" max="14090" width="8.375" style="568" bestFit="1" customWidth="1"/>
    <col min="14091" max="14093" width="8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3" width="7.625" style="568" bestFit="1" customWidth="1"/>
    <col min="14344" max="14344" width="2.25" style="568" bestFit="1" customWidth="1"/>
    <col min="14345" max="14345" width="4.375" style="568" bestFit="1" customWidth="1"/>
    <col min="14346" max="14346" width="8.375" style="568" bestFit="1" customWidth="1"/>
    <col min="14347" max="14349" width="8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599" width="7.625" style="568" bestFit="1" customWidth="1"/>
    <col min="14600" max="14600" width="2.25" style="568" bestFit="1" customWidth="1"/>
    <col min="14601" max="14601" width="4.375" style="568" bestFit="1" customWidth="1"/>
    <col min="14602" max="14602" width="8.375" style="568" bestFit="1" customWidth="1"/>
    <col min="14603" max="14605" width="8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5" width="7.625" style="568" bestFit="1" customWidth="1"/>
    <col min="14856" max="14856" width="2.25" style="568" bestFit="1" customWidth="1"/>
    <col min="14857" max="14857" width="4.375" style="568" bestFit="1" customWidth="1"/>
    <col min="14858" max="14858" width="8.375" style="568" bestFit="1" customWidth="1"/>
    <col min="14859" max="14861" width="8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1" width="7.625" style="568" bestFit="1" customWidth="1"/>
    <col min="15112" max="15112" width="2.25" style="568" bestFit="1" customWidth="1"/>
    <col min="15113" max="15113" width="4.375" style="568" bestFit="1" customWidth="1"/>
    <col min="15114" max="15114" width="8.375" style="568" bestFit="1" customWidth="1"/>
    <col min="15115" max="15117" width="8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7" width="7.625" style="568" bestFit="1" customWidth="1"/>
    <col min="15368" max="15368" width="2.25" style="568" bestFit="1" customWidth="1"/>
    <col min="15369" max="15369" width="4.375" style="568" bestFit="1" customWidth="1"/>
    <col min="15370" max="15370" width="8.375" style="568" bestFit="1" customWidth="1"/>
    <col min="15371" max="15373" width="8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3" width="7.625" style="568" bestFit="1" customWidth="1"/>
    <col min="15624" max="15624" width="2.25" style="568" bestFit="1" customWidth="1"/>
    <col min="15625" max="15625" width="4.375" style="568" bestFit="1" customWidth="1"/>
    <col min="15626" max="15626" width="8.375" style="568" bestFit="1" customWidth="1"/>
    <col min="15627" max="15629" width="8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79" width="7.625" style="568" bestFit="1" customWidth="1"/>
    <col min="15880" max="15880" width="2.25" style="568" bestFit="1" customWidth="1"/>
    <col min="15881" max="15881" width="4.375" style="568" bestFit="1" customWidth="1"/>
    <col min="15882" max="15882" width="8.375" style="568" bestFit="1" customWidth="1"/>
    <col min="15883" max="15885" width="8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5" width="7.625" style="568" bestFit="1" customWidth="1"/>
    <col min="16136" max="16136" width="2.25" style="568" bestFit="1" customWidth="1"/>
    <col min="16137" max="16137" width="4.375" style="568" bestFit="1" customWidth="1"/>
    <col min="16138" max="16138" width="8.375" style="568" bestFit="1" customWidth="1"/>
    <col min="16139" max="16141" width="8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788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97</v>
      </c>
      <c r="J9" s="567" t="s">
        <v>327</v>
      </c>
      <c r="K9" s="567" t="s">
        <v>1002</v>
      </c>
      <c r="L9" s="567" t="s">
        <v>1003</v>
      </c>
      <c r="M9" s="567" t="s">
        <v>1004</v>
      </c>
      <c r="N9" s="567" t="s">
        <v>1013</v>
      </c>
      <c r="O9" s="567" t="s">
        <v>1014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0.11750000000000001</v>
      </c>
      <c r="E10" s="567">
        <v>81216</v>
      </c>
      <c r="F10" s="567" t="s">
        <v>1001</v>
      </c>
      <c r="G10" s="567" t="s">
        <v>326</v>
      </c>
      <c r="H10" s="567">
        <v>0</v>
      </c>
      <c r="I10" s="567">
        <v>97</v>
      </c>
      <c r="J10" s="567" t="s">
        <v>327</v>
      </c>
      <c r="K10" s="567" t="s">
        <v>1002</v>
      </c>
      <c r="L10" s="567" t="s">
        <v>1003</v>
      </c>
      <c r="M10" s="567" t="s">
        <v>1004</v>
      </c>
      <c r="N10" s="567" t="s">
        <v>1013</v>
      </c>
      <c r="O10" s="567" t="s">
        <v>1014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0.125</v>
      </c>
      <c r="E11" s="567">
        <v>5184</v>
      </c>
      <c r="F11" s="567" t="s">
        <v>1001</v>
      </c>
      <c r="G11" s="567" t="s">
        <v>326</v>
      </c>
      <c r="H11" s="567">
        <v>0</v>
      </c>
      <c r="I11" s="567">
        <v>401</v>
      </c>
      <c r="J11" s="567" t="s">
        <v>327</v>
      </c>
      <c r="K11" s="567" t="s">
        <v>1002</v>
      </c>
      <c r="L11" s="567" t="s">
        <v>1003</v>
      </c>
      <c r="M11" s="567" t="s">
        <v>1004</v>
      </c>
      <c r="N11" s="567" t="s">
        <v>1011</v>
      </c>
      <c r="O11" s="567" t="s">
        <v>1012</v>
      </c>
      <c r="P11" s="567" t="s">
        <v>1007</v>
      </c>
      <c r="Q11" s="567" t="s">
        <v>1008</v>
      </c>
      <c r="R11" s="567">
        <v>80</v>
      </c>
    </row>
    <row r="12" spans="1:18" ht="15" x14ac:dyDescent="0.2">
      <c r="A12" s="567"/>
      <c r="B12" s="567"/>
      <c r="C12" s="567"/>
      <c r="D12" s="569">
        <v>0.2810185185185185</v>
      </c>
      <c r="E12" s="567">
        <v>107840</v>
      </c>
      <c r="F12" s="567" t="s">
        <v>1001</v>
      </c>
      <c r="G12" s="567" t="s">
        <v>326</v>
      </c>
      <c r="H12" s="567">
        <v>0</v>
      </c>
      <c r="I12" s="567">
        <v>401</v>
      </c>
      <c r="J12" s="567" t="s">
        <v>327</v>
      </c>
      <c r="K12" s="567" t="s">
        <v>1002</v>
      </c>
      <c r="L12" s="567" t="s">
        <v>1003</v>
      </c>
      <c r="M12" s="567" t="s">
        <v>1004</v>
      </c>
      <c r="N12" s="567" t="s">
        <v>1011</v>
      </c>
      <c r="O12" s="567" t="s">
        <v>1012</v>
      </c>
      <c r="P12" s="567" t="s">
        <v>1009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0.29097222222222224</v>
      </c>
      <c r="E13" s="567">
        <v>6880</v>
      </c>
      <c r="F13" s="567" t="s">
        <v>1001</v>
      </c>
      <c r="G13" s="567" t="s">
        <v>326</v>
      </c>
      <c r="H13" s="567">
        <v>0</v>
      </c>
      <c r="I13" s="567">
        <v>39</v>
      </c>
      <c r="J13" s="567" t="s">
        <v>327</v>
      </c>
      <c r="K13" s="567" t="s">
        <v>1002</v>
      </c>
      <c r="L13" s="567" t="s">
        <v>1003</v>
      </c>
      <c r="M13" s="567" t="s">
        <v>1004</v>
      </c>
      <c r="N13" s="567" t="s">
        <v>1011</v>
      </c>
      <c r="O13" s="567" t="s">
        <v>1012</v>
      </c>
      <c r="P13" s="567" t="s">
        <v>1007</v>
      </c>
      <c r="Q13" s="567" t="s">
        <v>1008</v>
      </c>
      <c r="R13" s="567">
        <v>80</v>
      </c>
    </row>
    <row r="14" spans="1:18" ht="15" x14ac:dyDescent="0.2">
      <c r="A14" s="567"/>
      <c r="B14" s="567"/>
      <c r="C14" s="567"/>
      <c r="D14" s="569">
        <v>0.33013888888888893</v>
      </c>
      <c r="E14" s="567">
        <v>27072</v>
      </c>
      <c r="F14" s="567" t="s">
        <v>1001</v>
      </c>
      <c r="G14" s="567" t="s">
        <v>326</v>
      </c>
      <c r="H14" s="567">
        <v>0</v>
      </c>
      <c r="I14" s="567">
        <v>39</v>
      </c>
      <c r="J14" s="567" t="s">
        <v>327</v>
      </c>
      <c r="K14" s="567" t="s">
        <v>1002</v>
      </c>
      <c r="L14" s="567" t="s">
        <v>1003</v>
      </c>
      <c r="M14" s="567" t="s">
        <v>1004</v>
      </c>
      <c r="N14" s="567" t="s">
        <v>1011</v>
      </c>
      <c r="O14" s="567" t="s">
        <v>1012</v>
      </c>
      <c r="P14" s="567" t="s">
        <v>1009</v>
      </c>
      <c r="Q14" s="567" t="s">
        <v>1008</v>
      </c>
      <c r="R14" s="567">
        <v>80</v>
      </c>
    </row>
    <row r="15" spans="1:18" ht="15" x14ac:dyDescent="0.2">
      <c r="A15" s="567"/>
      <c r="B15" s="567"/>
      <c r="C15" s="567"/>
      <c r="D15" s="569">
        <v>0.33013888888888893</v>
      </c>
      <c r="E15" s="567">
        <v>0</v>
      </c>
      <c r="F15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7" width="7.625" style="568" bestFit="1" customWidth="1"/>
    <col min="8" max="8" width="2.25" style="568" bestFit="1" customWidth="1"/>
    <col min="9" max="9" width="4.375" style="568" bestFit="1" customWidth="1"/>
    <col min="10" max="10" width="8.375" style="568" bestFit="1" customWidth="1"/>
    <col min="11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3" width="7.625" style="568" bestFit="1" customWidth="1"/>
    <col min="264" max="264" width="2.25" style="568" bestFit="1" customWidth="1"/>
    <col min="265" max="265" width="4.375" style="568" bestFit="1" customWidth="1"/>
    <col min="266" max="266" width="8.375" style="568" bestFit="1" customWidth="1"/>
    <col min="267" max="269" width="8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19" width="7.625" style="568" bestFit="1" customWidth="1"/>
    <col min="520" max="520" width="2.25" style="568" bestFit="1" customWidth="1"/>
    <col min="521" max="521" width="4.375" style="568" bestFit="1" customWidth="1"/>
    <col min="522" max="522" width="8.375" style="568" bestFit="1" customWidth="1"/>
    <col min="523" max="525" width="8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5" width="7.625" style="568" bestFit="1" customWidth="1"/>
    <col min="776" max="776" width="2.25" style="568" bestFit="1" customWidth="1"/>
    <col min="777" max="777" width="4.375" style="568" bestFit="1" customWidth="1"/>
    <col min="778" max="778" width="8.375" style="568" bestFit="1" customWidth="1"/>
    <col min="779" max="781" width="8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1" width="7.625" style="568" bestFit="1" customWidth="1"/>
    <col min="1032" max="1032" width="2.25" style="568" bestFit="1" customWidth="1"/>
    <col min="1033" max="1033" width="4.375" style="568" bestFit="1" customWidth="1"/>
    <col min="1034" max="1034" width="8.375" style="568" bestFit="1" customWidth="1"/>
    <col min="1035" max="1037" width="8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7" width="7.625" style="568" bestFit="1" customWidth="1"/>
    <col min="1288" max="1288" width="2.25" style="568" bestFit="1" customWidth="1"/>
    <col min="1289" max="1289" width="4.375" style="568" bestFit="1" customWidth="1"/>
    <col min="1290" max="1290" width="8.375" style="568" bestFit="1" customWidth="1"/>
    <col min="1291" max="1293" width="8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3" width="7.625" style="568" bestFit="1" customWidth="1"/>
    <col min="1544" max="1544" width="2.25" style="568" bestFit="1" customWidth="1"/>
    <col min="1545" max="1545" width="4.375" style="568" bestFit="1" customWidth="1"/>
    <col min="1546" max="1546" width="8.375" style="568" bestFit="1" customWidth="1"/>
    <col min="1547" max="1549" width="8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799" width="7.625" style="568" bestFit="1" customWidth="1"/>
    <col min="1800" max="1800" width="2.25" style="568" bestFit="1" customWidth="1"/>
    <col min="1801" max="1801" width="4.375" style="568" bestFit="1" customWidth="1"/>
    <col min="1802" max="1802" width="8.375" style="568" bestFit="1" customWidth="1"/>
    <col min="1803" max="1805" width="8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5" width="7.625" style="568" bestFit="1" customWidth="1"/>
    <col min="2056" max="2056" width="2.25" style="568" bestFit="1" customWidth="1"/>
    <col min="2057" max="2057" width="4.375" style="568" bestFit="1" customWidth="1"/>
    <col min="2058" max="2058" width="8.375" style="568" bestFit="1" customWidth="1"/>
    <col min="2059" max="2061" width="8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1" width="7.625" style="568" bestFit="1" customWidth="1"/>
    <col min="2312" max="2312" width="2.25" style="568" bestFit="1" customWidth="1"/>
    <col min="2313" max="2313" width="4.375" style="568" bestFit="1" customWidth="1"/>
    <col min="2314" max="2314" width="8.375" style="568" bestFit="1" customWidth="1"/>
    <col min="2315" max="2317" width="8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7" width="7.625" style="568" bestFit="1" customWidth="1"/>
    <col min="2568" max="2568" width="2.25" style="568" bestFit="1" customWidth="1"/>
    <col min="2569" max="2569" width="4.375" style="568" bestFit="1" customWidth="1"/>
    <col min="2570" max="2570" width="8.375" style="568" bestFit="1" customWidth="1"/>
    <col min="2571" max="2573" width="8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3" width="7.625" style="568" bestFit="1" customWidth="1"/>
    <col min="2824" max="2824" width="2.25" style="568" bestFit="1" customWidth="1"/>
    <col min="2825" max="2825" width="4.375" style="568" bestFit="1" customWidth="1"/>
    <col min="2826" max="2826" width="8.375" style="568" bestFit="1" customWidth="1"/>
    <col min="2827" max="2829" width="8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79" width="7.625" style="568" bestFit="1" customWidth="1"/>
    <col min="3080" max="3080" width="2.25" style="568" bestFit="1" customWidth="1"/>
    <col min="3081" max="3081" width="4.375" style="568" bestFit="1" customWidth="1"/>
    <col min="3082" max="3082" width="8.375" style="568" bestFit="1" customWidth="1"/>
    <col min="3083" max="3085" width="8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5" width="7.625" style="568" bestFit="1" customWidth="1"/>
    <col min="3336" max="3336" width="2.25" style="568" bestFit="1" customWidth="1"/>
    <col min="3337" max="3337" width="4.375" style="568" bestFit="1" customWidth="1"/>
    <col min="3338" max="3338" width="8.375" style="568" bestFit="1" customWidth="1"/>
    <col min="3339" max="3341" width="8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1" width="7.625" style="568" bestFit="1" customWidth="1"/>
    <col min="3592" max="3592" width="2.25" style="568" bestFit="1" customWidth="1"/>
    <col min="3593" max="3593" width="4.375" style="568" bestFit="1" customWidth="1"/>
    <col min="3594" max="3594" width="8.375" style="568" bestFit="1" customWidth="1"/>
    <col min="3595" max="3597" width="8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7" width="7.625" style="568" bestFit="1" customWidth="1"/>
    <col min="3848" max="3848" width="2.25" style="568" bestFit="1" customWidth="1"/>
    <col min="3849" max="3849" width="4.375" style="568" bestFit="1" customWidth="1"/>
    <col min="3850" max="3850" width="8.375" style="568" bestFit="1" customWidth="1"/>
    <col min="3851" max="3853" width="8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3" width="7.625" style="568" bestFit="1" customWidth="1"/>
    <col min="4104" max="4104" width="2.25" style="568" bestFit="1" customWidth="1"/>
    <col min="4105" max="4105" width="4.375" style="568" bestFit="1" customWidth="1"/>
    <col min="4106" max="4106" width="8.375" style="568" bestFit="1" customWidth="1"/>
    <col min="4107" max="4109" width="8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59" width="7.625" style="568" bestFit="1" customWidth="1"/>
    <col min="4360" max="4360" width="2.25" style="568" bestFit="1" customWidth="1"/>
    <col min="4361" max="4361" width="4.375" style="568" bestFit="1" customWidth="1"/>
    <col min="4362" max="4362" width="8.375" style="568" bestFit="1" customWidth="1"/>
    <col min="4363" max="4365" width="8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5" width="7.625" style="568" bestFit="1" customWidth="1"/>
    <col min="4616" max="4616" width="2.25" style="568" bestFit="1" customWidth="1"/>
    <col min="4617" max="4617" width="4.375" style="568" bestFit="1" customWidth="1"/>
    <col min="4618" max="4618" width="8.375" style="568" bestFit="1" customWidth="1"/>
    <col min="4619" max="4621" width="8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1" width="7.625" style="568" bestFit="1" customWidth="1"/>
    <col min="4872" max="4872" width="2.25" style="568" bestFit="1" customWidth="1"/>
    <col min="4873" max="4873" width="4.375" style="568" bestFit="1" customWidth="1"/>
    <col min="4874" max="4874" width="8.375" style="568" bestFit="1" customWidth="1"/>
    <col min="4875" max="4877" width="8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7" width="7.625" style="568" bestFit="1" customWidth="1"/>
    <col min="5128" max="5128" width="2.25" style="568" bestFit="1" customWidth="1"/>
    <col min="5129" max="5129" width="4.375" style="568" bestFit="1" customWidth="1"/>
    <col min="5130" max="5130" width="8.375" style="568" bestFit="1" customWidth="1"/>
    <col min="5131" max="5133" width="8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3" width="7.625" style="568" bestFit="1" customWidth="1"/>
    <col min="5384" max="5384" width="2.25" style="568" bestFit="1" customWidth="1"/>
    <col min="5385" max="5385" width="4.375" style="568" bestFit="1" customWidth="1"/>
    <col min="5386" max="5386" width="8.375" style="568" bestFit="1" customWidth="1"/>
    <col min="5387" max="5389" width="8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39" width="7.625" style="568" bestFit="1" customWidth="1"/>
    <col min="5640" max="5640" width="2.25" style="568" bestFit="1" customWidth="1"/>
    <col min="5641" max="5641" width="4.375" style="568" bestFit="1" customWidth="1"/>
    <col min="5642" max="5642" width="8.375" style="568" bestFit="1" customWidth="1"/>
    <col min="5643" max="5645" width="8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5" width="7.625" style="568" bestFit="1" customWidth="1"/>
    <col min="5896" max="5896" width="2.25" style="568" bestFit="1" customWidth="1"/>
    <col min="5897" max="5897" width="4.375" style="568" bestFit="1" customWidth="1"/>
    <col min="5898" max="5898" width="8.375" style="568" bestFit="1" customWidth="1"/>
    <col min="5899" max="5901" width="8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1" width="7.625" style="568" bestFit="1" customWidth="1"/>
    <col min="6152" max="6152" width="2.25" style="568" bestFit="1" customWidth="1"/>
    <col min="6153" max="6153" width="4.375" style="568" bestFit="1" customWidth="1"/>
    <col min="6154" max="6154" width="8.375" style="568" bestFit="1" customWidth="1"/>
    <col min="6155" max="6157" width="8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7" width="7.625" style="568" bestFit="1" customWidth="1"/>
    <col min="6408" max="6408" width="2.25" style="568" bestFit="1" customWidth="1"/>
    <col min="6409" max="6409" width="4.375" style="568" bestFit="1" customWidth="1"/>
    <col min="6410" max="6410" width="8.375" style="568" bestFit="1" customWidth="1"/>
    <col min="6411" max="6413" width="8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3" width="7.625" style="568" bestFit="1" customWidth="1"/>
    <col min="6664" max="6664" width="2.25" style="568" bestFit="1" customWidth="1"/>
    <col min="6665" max="6665" width="4.375" style="568" bestFit="1" customWidth="1"/>
    <col min="6666" max="6666" width="8.375" style="568" bestFit="1" customWidth="1"/>
    <col min="6667" max="6669" width="8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19" width="7.625" style="568" bestFit="1" customWidth="1"/>
    <col min="6920" max="6920" width="2.25" style="568" bestFit="1" customWidth="1"/>
    <col min="6921" max="6921" width="4.375" style="568" bestFit="1" customWidth="1"/>
    <col min="6922" max="6922" width="8.375" style="568" bestFit="1" customWidth="1"/>
    <col min="6923" max="6925" width="8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5" width="7.625" style="568" bestFit="1" customWidth="1"/>
    <col min="7176" max="7176" width="2.25" style="568" bestFit="1" customWidth="1"/>
    <col min="7177" max="7177" width="4.375" style="568" bestFit="1" customWidth="1"/>
    <col min="7178" max="7178" width="8.375" style="568" bestFit="1" customWidth="1"/>
    <col min="7179" max="7181" width="8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1" width="7.625" style="568" bestFit="1" customWidth="1"/>
    <col min="7432" max="7432" width="2.25" style="568" bestFit="1" customWidth="1"/>
    <col min="7433" max="7433" width="4.375" style="568" bestFit="1" customWidth="1"/>
    <col min="7434" max="7434" width="8.375" style="568" bestFit="1" customWidth="1"/>
    <col min="7435" max="7437" width="8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7" width="7.625" style="568" bestFit="1" customWidth="1"/>
    <col min="7688" max="7688" width="2.25" style="568" bestFit="1" customWidth="1"/>
    <col min="7689" max="7689" width="4.375" style="568" bestFit="1" customWidth="1"/>
    <col min="7690" max="7690" width="8.375" style="568" bestFit="1" customWidth="1"/>
    <col min="7691" max="7693" width="8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3" width="7.625" style="568" bestFit="1" customWidth="1"/>
    <col min="7944" max="7944" width="2.25" style="568" bestFit="1" customWidth="1"/>
    <col min="7945" max="7945" width="4.375" style="568" bestFit="1" customWidth="1"/>
    <col min="7946" max="7946" width="8.375" style="568" bestFit="1" customWidth="1"/>
    <col min="7947" max="7949" width="8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199" width="7.625" style="568" bestFit="1" customWidth="1"/>
    <col min="8200" max="8200" width="2.25" style="568" bestFit="1" customWidth="1"/>
    <col min="8201" max="8201" width="4.375" style="568" bestFit="1" customWidth="1"/>
    <col min="8202" max="8202" width="8.375" style="568" bestFit="1" customWidth="1"/>
    <col min="8203" max="8205" width="8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5" width="7.625" style="568" bestFit="1" customWidth="1"/>
    <col min="8456" max="8456" width="2.25" style="568" bestFit="1" customWidth="1"/>
    <col min="8457" max="8457" width="4.375" style="568" bestFit="1" customWidth="1"/>
    <col min="8458" max="8458" width="8.375" style="568" bestFit="1" customWidth="1"/>
    <col min="8459" max="8461" width="8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1" width="7.625" style="568" bestFit="1" customWidth="1"/>
    <col min="8712" max="8712" width="2.25" style="568" bestFit="1" customWidth="1"/>
    <col min="8713" max="8713" width="4.375" style="568" bestFit="1" customWidth="1"/>
    <col min="8714" max="8714" width="8.375" style="568" bestFit="1" customWidth="1"/>
    <col min="8715" max="8717" width="8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7" width="7.625" style="568" bestFit="1" customWidth="1"/>
    <col min="8968" max="8968" width="2.25" style="568" bestFit="1" customWidth="1"/>
    <col min="8969" max="8969" width="4.375" style="568" bestFit="1" customWidth="1"/>
    <col min="8970" max="8970" width="8.375" style="568" bestFit="1" customWidth="1"/>
    <col min="8971" max="8973" width="8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3" width="7.625" style="568" bestFit="1" customWidth="1"/>
    <col min="9224" max="9224" width="2.25" style="568" bestFit="1" customWidth="1"/>
    <col min="9225" max="9225" width="4.375" style="568" bestFit="1" customWidth="1"/>
    <col min="9226" max="9226" width="8.375" style="568" bestFit="1" customWidth="1"/>
    <col min="9227" max="9229" width="8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79" width="7.625" style="568" bestFit="1" customWidth="1"/>
    <col min="9480" max="9480" width="2.25" style="568" bestFit="1" customWidth="1"/>
    <col min="9481" max="9481" width="4.375" style="568" bestFit="1" customWidth="1"/>
    <col min="9482" max="9482" width="8.375" style="568" bestFit="1" customWidth="1"/>
    <col min="9483" max="9485" width="8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5" width="7.625" style="568" bestFit="1" customWidth="1"/>
    <col min="9736" max="9736" width="2.25" style="568" bestFit="1" customWidth="1"/>
    <col min="9737" max="9737" width="4.375" style="568" bestFit="1" customWidth="1"/>
    <col min="9738" max="9738" width="8.375" style="568" bestFit="1" customWidth="1"/>
    <col min="9739" max="9741" width="8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1" width="7.625" style="568" bestFit="1" customWidth="1"/>
    <col min="9992" max="9992" width="2.25" style="568" bestFit="1" customWidth="1"/>
    <col min="9993" max="9993" width="4.375" style="568" bestFit="1" customWidth="1"/>
    <col min="9994" max="9994" width="8.375" style="568" bestFit="1" customWidth="1"/>
    <col min="9995" max="9997" width="8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7" width="7.625" style="568" bestFit="1" customWidth="1"/>
    <col min="10248" max="10248" width="2.25" style="568" bestFit="1" customWidth="1"/>
    <col min="10249" max="10249" width="4.375" style="568" bestFit="1" customWidth="1"/>
    <col min="10250" max="10250" width="8.375" style="568" bestFit="1" customWidth="1"/>
    <col min="10251" max="10253" width="8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3" width="7.625" style="568" bestFit="1" customWidth="1"/>
    <col min="10504" max="10504" width="2.25" style="568" bestFit="1" customWidth="1"/>
    <col min="10505" max="10505" width="4.375" style="568" bestFit="1" customWidth="1"/>
    <col min="10506" max="10506" width="8.375" style="568" bestFit="1" customWidth="1"/>
    <col min="10507" max="10509" width="8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59" width="7.625" style="568" bestFit="1" customWidth="1"/>
    <col min="10760" max="10760" width="2.25" style="568" bestFit="1" customWidth="1"/>
    <col min="10761" max="10761" width="4.375" style="568" bestFit="1" customWidth="1"/>
    <col min="10762" max="10762" width="8.375" style="568" bestFit="1" customWidth="1"/>
    <col min="10763" max="10765" width="8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5" width="7.625" style="568" bestFit="1" customWidth="1"/>
    <col min="11016" max="11016" width="2.25" style="568" bestFit="1" customWidth="1"/>
    <col min="11017" max="11017" width="4.375" style="568" bestFit="1" customWidth="1"/>
    <col min="11018" max="11018" width="8.375" style="568" bestFit="1" customWidth="1"/>
    <col min="11019" max="11021" width="8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1" width="7.625" style="568" bestFit="1" customWidth="1"/>
    <col min="11272" max="11272" width="2.25" style="568" bestFit="1" customWidth="1"/>
    <col min="11273" max="11273" width="4.375" style="568" bestFit="1" customWidth="1"/>
    <col min="11274" max="11274" width="8.375" style="568" bestFit="1" customWidth="1"/>
    <col min="11275" max="11277" width="8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7" width="7.625" style="568" bestFit="1" customWidth="1"/>
    <col min="11528" max="11528" width="2.25" style="568" bestFit="1" customWidth="1"/>
    <col min="11529" max="11529" width="4.375" style="568" bestFit="1" customWidth="1"/>
    <col min="11530" max="11530" width="8.375" style="568" bestFit="1" customWidth="1"/>
    <col min="11531" max="11533" width="8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3" width="7.625" style="568" bestFit="1" customWidth="1"/>
    <col min="11784" max="11784" width="2.25" style="568" bestFit="1" customWidth="1"/>
    <col min="11785" max="11785" width="4.375" style="568" bestFit="1" customWidth="1"/>
    <col min="11786" max="11786" width="8.375" style="568" bestFit="1" customWidth="1"/>
    <col min="11787" max="11789" width="8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39" width="7.625" style="568" bestFit="1" customWidth="1"/>
    <col min="12040" max="12040" width="2.25" style="568" bestFit="1" customWidth="1"/>
    <col min="12041" max="12041" width="4.375" style="568" bestFit="1" customWidth="1"/>
    <col min="12042" max="12042" width="8.375" style="568" bestFit="1" customWidth="1"/>
    <col min="12043" max="12045" width="8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5" width="7.625" style="568" bestFit="1" customWidth="1"/>
    <col min="12296" max="12296" width="2.25" style="568" bestFit="1" customWidth="1"/>
    <col min="12297" max="12297" width="4.375" style="568" bestFit="1" customWidth="1"/>
    <col min="12298" max="12298" width="8.375" style="568" bestFit="1" customWidth="1"/>
    <col min="12299" max="12301" width="8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1" width="7.625" style="568" bestFit="1" customWidth="1"/>
    <col min="12552" max="12552" width="2.25" style="568" bestFit="1" customWidth="1"/>
    <col min="12553" max="12553" width="4.375" style="568" bestFit="1" customWidth="1"/>
    <col min="12554" max="12554" width="8.375" style="568" bestFit="1" customWidth="1"/>
    <col min="12555" max="12557" width="8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7" width="7.625" style="568" bestFit="1" customWidth="1"/>
    <col min="12808" max="12808" width="2.25" style="568" bestFit="1" customWidth="1"/>
    <col min="12809" max="12809" width="4.375" style="568" bestFit="1" customWidth="1"/>
    <col min="12810" max="12810" width="8.375" style="568" bestFit="1" customWidth="1"/>
    <col min="12811" max="12813" width="8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3" width="7.625" style="568" bestFit="1" customWidth="1"/>
    <col min="13064" max="13064" width="2.25" style="568" bestFit="1" customWidth="1"/>
    <col min="13065" max="13065" width="4.375" style="568" bestFit="1" customWidth="1"/>
    <col min="13066" max="13066" width="8.375" style="568" bestFit="1" customWidth="1"/>
    <col min="13067" max="13069" width="8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19" width="7.625" style="568" bestFit="1" customWidth="1"/>
    <col min="13320" max="13320" width="2.25" style="568" bestFit="1" customWidth="1"/>
    <col min="13321" max="13321" width="4.375" style="568" bestFit="1" customWidth="1"/>
    <col min="13322" max="13322" width="8.375" style="568" bestFit="1" customWidth="1"/>
    <col min="13323" max="13325" width="8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5" width="7.625" style="568" bestFit="1" customWidth="1"/>
    <col min="13576" max="13576" width="2.25" style="568" bestFit="1" customWidth="1"/>
    <col min="13577" max="13577" width="4.375" style="568" bestFit="1" customWidth="1"/>
    <col min="13578" max="13578" width="8.375" style="568" bestFit="1" customWidth="1"/>
    <col min="13579" max="13581" width="8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1" width="7.625" style="568" bestFit="1" customWidth="1"/>
    <col min="13832" max="13832" width="2.25" style="568" bestFit="1" customWidth="1"/>
    <col min="13833" max="13833" width="4.375" style="568" bestFit="1" customWidth="1"/>
    <col min="13834" max="13834" width="8.375" style="568" bestFit="1" customWidth="1"/>
    <col min="13835" max="13837" width="8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7" width="7.625" style="568" bestFit="1" customWidth="1"/>
    <col min="14088" max="14088" width="2.25" style="568" bestFit="1" customWidth="1"/>
    <col min="14089" max="14089" width="4.375" style="568" bestFit="1" customWidth="1"/>
    <col min="14090" max="14090" width="8.375" style="568" bestFit="1" customWidth="1"/>
    <col min="14091" max="14093" width="8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3" width="7.625" style="568" bestFit="1" customWidth="1"/>
    <col min="14344" max="14344" width="2.25" style="568" bestFit="1" customWidth="1"/>
    <col min="14345" max="14345" width="4.375" style="568" bestFit="1" customWidth="1"/>
    <col min="14346" max="14346" width="8.375" style="568" bestFit="1" customWidth="1"/>
    <col min="14347" max="14349" width="8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599" width="7.625" style="568" bestFit="1" customWidth="1"/>
    <col min="14600" max="14600" width="2.25" style="568" bestFit="1" customWidth="1"/>
    <col min="14601" max="14601" width="4.375" style="568" bestFit="1" customWidth="1"/>
    <col min="14602" max="14602" width="8.375" style="568" bestFit="1" customWidth="1"/>
    <col min="14603" max="14605" width="8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5" width="7.625" style="568" bestFit="1" customWidth="1"/>
    <col min="14856" max="14856" width="2.25" style="568" bestFit="1" customWidth="1"/>
    <col min="14857" max="14857" width="4.375" style="568" bestFit="1" customWidth="1"/>
    <col min="14858" max="14858" width="8.375" style="568" bestFit="1" customWidth="1"/>
    <col min="14859" max="14861" width="8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1" width="7.625" style="568" bestFit="1" customWidth="1"/>
    <col min="15112" max="15112" width="2.25" style="568" bestFit="1" customWidth="1"/>
    <col min="15113" max="15113" width="4.375" style="568" bestFit="1" customWidth="1"/>
    <col min="15114" max="15114" width="8.375" style="568" bestFit="1" customWidth="1"/>
    <col min="15115" max="15117" width="8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7" width="7.625" style="568" bestFit="1" customWidth="1"/>
    <col min="15368" max="15368" width="2.25" style="568" bestFit="1" customWidth="1"/>
    <col min="15369" max="15369" width="4.375" style="568" bestFit="1" customWidth="1"/>
    <col min="15370" max="15370" width="8.375" style="568" bestFit="1" customWidth="1"/>
    <col min="15371" max="15373" width="8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3" width="7.625" style="568" bestFit="1" customWidth="1"/>
    <col min="15624" max="15624" width="2.25" style="568" bestFit="1" customWidth="1"/>
    <col min="15625" max="15625" width="4.375" style="568" bestFit="1" customWidth="1"/>
    <col min="15626" max="15626" width="8.375" style="568" bestFit="1" customWidth="1"/>
    <col min="15627" max="15629" width="8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79" width="7.625" style="568" bestFit="1" customWidth="1"/>
    <col min="15880" max="15880" width="2.25" style="568" bestFit="1" customWidth="1"/>
    <col min="15881" max="15881" width="4.375" style="568" bestFit="1" customWidth="1"/>
    <col min="15882" max="15882" width="8.375" style="568" bestFit="1" customWidth="1"/>
    <col min="15883" max="15885" width="8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5" width="7.625" style="568" bestFit="1" customWidth="1"/>
    <col min="16136" max="16136" width="2.25" style="568" bestFit="1" customWidth="1"/>
    <col min="16137" max="16137" width="4.375" style="568" bestFit="1" customWidth="1"/>
    <col min="16138" max="16138" width="8.375" style="568" bestFit="1" customWidth="1"/>
    <col min="16139" max="16141" width="8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790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39</v>
      </c>
      <c r="J9" s="567" t="s">
        <v>327</v>
      </c>
      <c r="K9" s="567" t="s">
        <v>1002</v>
      </c>
      <c r="L9" s="567" t="s">
        <v>1003</v>
      </c>
      <c r="M9" s="567" t="s">
        <v>1004</v>
      </c>
      <c r="N9" s="567" t="s">
        <v>1011</v>
      </c>
      <c r="O9" s="567" t="s">
        <v>1012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3.9166666666666662E-2</v>
      </c>
      <c r="E10" s="567">
        <v>27072</v>
      </c>
      <c r="F10" s="567" t="s">
        <v>1001</v>
      </c>
      <c r="G10" s="567" t="s">
        <v>326</v>
      </c>
      <c r="H10" s="567">
        <v>0</v>
      </c>
      <c r="I10" s="567">
        <v>39</v>
      </c>
      <c r="J10" s="567" t="s">
        <v>327</v>
      </c>
      <c r="K10" s="567" t="s">
        <v>1002</v>
      </c>
      <c r="L10" s="567" t="s">
        <v>1003</v>
      </c>
      <c r="M10" s="567" t="s">
        <v>1004</v>
      </c>
      <c r="N10" s="567" t="s">
        <v>1011</v>
      </c>
      <c r="O10" s="567" t="s">
        <v>1012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4.1666666666666664E-2</v>
      </c>
      <c r="E11" s="567">
        <v>1728</v>
      </c>
      <c r="F11" s="567" t="s">
        <v>1001</v>
      </c>
      <c r="G11" s="567" t="s">
        <v>326</v>
      </c>
      <c r="H11" s="567">
        <v>0</v>
      </c>
      <c r="I11" s="567">
        <v>97</v>
      </c>
      <c r="J11" s="567" t="s">
        <v>327</v>
      </c>
      <c r="K11" s="567" t="s">
        <v>1002</v>
      </c>
      <c r="L11" s="567" t="s">
        <v>1003</v>
      </c>
      <c r="M11" s="567" t="s">
        <v>1004</v>
      </c>
      <c r="N11" s="567" t="s">
        <v>1011</v>
      </c>
      <c r="O11" s="567" t="s">
        <v>1012</v>
      </c>
      <c r="P11" s="567" t="s">
        <v>1007</v>
      </c>
      <c r="Q11" s="567" t="s">
        <v>1008</v>
      </c>
      <c r="R11" s="567">
        <v>80</v>
      </c>
    </row>
    <row r="12" spans="1:18" ht="15" x14ac:dyDescent="0.2">
      <c r="A12" s="567"/>
      <c r="B12" s="567"/>
      <c r="C12" s="567"/>
      <c r="D12" s="569">
        <v>0.15263888888888888</v>
      </c>
      <c r="E12" s="567">
        <v>76704</v>
      </c>
      <c r="F12" s="567" t="s">
        <v>1001</v>
      </c>
      <c r="G12" s="567" t="s">
        <v>326</v>
      </c>
      <c r="H12" s="567">
        <v>0</v>
      </c>
      <c r="I12" s="567">
        <v>97</v>
      </c>
      <c r="J12" s="567" t="s">
        <v>327</v>
      </c>
      <c r="K12" s="567" t="s">
        <v>1002</v>
      </c>
      <c r="L12" s="567" t="s">
        <v>1003</v>
      </c>
      <c r="M12" s="567" t="s">
        <v>1004</v>
      </c>
      <c r="N12" s="567" t="s">
        <v>1011</v>
      </c>
      <c r="O12" s="567" t="s">
        <v>1012</v>
      </c>
      <c r="P12" s="567" t="s">
        <v>1009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0.15972222222222224</v>
      </c>
      <c r="E13" s="567">
        <v>4896</v>
      </c>
      <c r="F13" s="567" t="s">
        <v>1001</v>
      </c>
      <c r="G13" s="567" t="s">
        <v>326</v>
      </c>
      <c r="H13" s="567">
        <v>0</v>
      </c>
      <c r="I13" s="567">
        <v>401</v>
      </c>
      <c r="J13" s="567" t="s">
        <v>327</v>
      </c>
      <c r="K13" s="567" t="s">
        <v>1002</v>
      </c>
      <c r="L13" s="567" t="s">
        <v>1003</v>
      </c>
      <c r="M13" s="567" t="s">
        <v>1004</v>
      </c>
      <c r="N13" s="567" t="s">
        <v>1011</v>
      </c>
      <c r="O13" s="567" t="s">
        <v>1012</v>
      </c>
      <c r="P13" s="567" t="s">
        <v>1007</v>
      </c>
      <c r="Q13" s="567" t="s">
        <v>1008</v>
      </c>
      <c r="R13" s="567">
        <v>80</v>
      </c>
    </row>
    <row r="14" spans="1:18" ht="15" x14ac:dyDescent="0.2">
      <c r="A14" s="567"/>
      <c r="B14" s="567"/>
      <c r="C14" s="567"/>
      <c r="D14" s="569">
        <v>0.32226851851851851</v>
      </c>
      <c r="E14" s="567">
        <v>112352</v>
      </c>
      <c r="F14" s="567" t="s">
        <v>1001</v>
      </c>
      <c r="G14" s="567" t="s">
        <v>326</v>
      </c>
      <c r="H14" s="567">
        <v>0</v>
      </c>
      <c r="I14" s="567">
        <v>401</v>
      </c>
      <c r="J14" s="567" t="s">
        <v>327</v>
      </c>
      <c r="K14" s="567" t="s">
        <v>1002</v>
      </c>
      <c r="L14" s="567" t="s">
        <v>1003</v>
      </c>
      <c r="M14" s="567" t="s">
        <v>1004</v>
      </c>
      <c r="N14" s="567" t="s">
        <v>1011</v>
      </c>
      <c r="O14" s="567" t="s">
        <v>1012</v>
      </c>
      <c r="P14" s="567" t="s">
        <v>1009</v>
      </c>
      <c r="Q14" s="567" t="s">
        <v>1008</v>
      </c>
      <c r="R14" s="567">
        <v>80</v>
      </c>
    </row>
    <row r="15" spans="1:18" ht="15" x14ac:dyDescent="0.2">
      <c r="A15" s="567"/>
      <c r="B15" s="567"/>
      <c r="C15" s="567"/>
      <c r="D15" s="569">
        <v>0.32226851851851851</v>
      </c>
      <c r="E15" s="567">
        <v>0</v>
      </c>
      <c r="F15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zoomScale="73" zoomScaleNormal="73" workbookViewId="0"/>
  </sheetViews>
  <sheetFormatPr defaultColWidth="9.125" defaultRowHeight="15" x14ac:dyDescent="0.2"/>
  <cols>
    <col min="1" max="16384" width="9.125" style="81"/>
  </cols>
  <sheetData>
    <row r="1" spans="1:18" x14ac:dyDescent="0.2">
      <c r="A1" s="368"/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</row>
    <row r="2" spans="1:18" x14ac:dyDescent="0.2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</row>
    <row r="3" spans="1:18" x14ac:dyDescent="0.2">
      <c r="A3" s="368"/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</row>
    <row r="4" spans="1:18" x14ac:dyDescent="0.2">
      <c r="A4" s="368"/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</row>
    <row r="5" spans="1:18" x14ac:dyDescent="0.2">
      <c r="A5" s="368"/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</row>
    <row r="6" spans="1:18" x14ac:dyDescent="0.2">
      <c r="A6" s="368"/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</row>
    <row r="7" spans="1:18" x14ac:dyDescent="0.2">
      <c r="A7" s="368"/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</row>
    <row r="8" spans="1:18" x14ac:dyDescent="0.2">
      <c r="A8" s="368"/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</row>
    <row r="9" spans="1:18" x14ac:dyDescent="0.2">
      <c r="A9" s="368"/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x14ac:dyDescent="0.2">
      <c r="A10" s="368"/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</row>
    <row r="11" spans="1:18" x14ac:dyDescent="0.2">
      <c r="A11" s="368"/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</row>
    <row r="12" spans="1:18" x14ac:dyDescent="0.2">
      <c r="A12" s="368"/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</row>
    <row r="13" spans="1:18" x14ac:dyDescent="0.2">
      <c r="A13" s="368"/>
      <c r="B13" s="368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</row>
    <row r="14" spans="1:18" x14ac:dyDescent="0.2">
      <c r="A14" s="368"/>
      <c r="B14" s="368"/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368"/>
    </row>
    <row r="15" spans="1:18" x14ac:dyDescent="0.2">
      <c r="A15" s="368"/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</row>
    <row r="16" spans="1:18" x14ac:dyDescent="0.2">
      <c r="A16" s="368"/>
      <c r="B16" s="368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</row>
    <row r="17" spans="1:18" x14ac:dyDescent="0.2">
      <c r="A17" s="368"/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</row>
    <row r="18" spans="1:18" x14ac:dyDescent="0.2">
      <c r="A18" s="368"/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</row>
    <row r="19" spans="1:18" x14ac:dyDescent="0.2">
      <c r="A19" s="368"/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</row>
    <row r="20" spans="1:18" x14ac:dyDescent="0.2">
      <c r="A20" s="368"/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</row>
    <row r="21" spans="1:18" x14ac:dyDescent="0.2">
      <c r="A21" s="368"/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</row>
    <row r="22" spans="1:18" x14ac:dyDescent="0.2">
      <c r="A22" s="368"/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</row>
    <row r="23" spans="1:18" x14ac:dyDescent="0.2">
      <c r="A23" s="368"/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</row>
    <row r="24" spans="1:18" x14ac:dyDescent="0.2">
      <c r="A24" s="368"/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</row>
    <row r="25" spans="1:18" x14ac:dyDescent="0.2">
      <c r="A25" s="368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</row>
    <row r="26" spans="1:18" x14ac:dyDescent="0.2">
      <c r="A26" s="368"/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</row>
    <row r="27" spans="1:18" x14ac:dyDescent="0.2">
      <c r="A27" s="368"/>
      <c r="B27" s="368"/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</row>
    <row r="28" spans="1:18" x14ac:dyDescent="0.2">
      <c r="A28" s="368"/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</row>
    <row r="29" spans="1:18" x14ac:dyDescent="0.2">
      <c r="A29" s="368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</row>
    <row r="30" spans="1:18" x14ac:dyDescent="0.2">
      <c r="A30" s="368"/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</row>
    <row r="31" spans="1:18" x14ac:dyDescent="0.2">
      <c r="A31" s="368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</row>
    <row r="32" spans="1:18" x14ac:dyDescent="0.2">
      <c r="A32" s="368"/>
      <c r="B32" s="368"/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</row>
    <row r="33" spans="1:18" x14ac:dyDescent="0.2">
      <c r="A33" s="368"/>
      <c r="B33" s="368"/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</row>
    <row r="34" spans="1:18" x14ac:dyDescent="0.2">
      <c r="A34" s="368"/>
      <c r="B34" s="368"/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</row>
    <row r="35" spans="1:18" x14ac:dyDescent="0.2">
      <c r="A35" s="368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</row>
    <row r="36" spans="1:18" x14ac:dyDescent="0.2">
      <c r="A36" s="368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</row>
    <row r="37" spans="1:18" x14ac:dyDescent="0.2">
      <c r="A37" s="368"/>
      <c r="B37" s="368"/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</row>
    <row r="38" spans="1:18" x14ac:dyDescent="0.2">
      <c r="A38" s="368"/>
      <c r="B38" s="368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8"/>
    </row>
    <row r="39" spans="1:18" x14ac:dyDescent="0.2">
      <c r="A39" s="368"/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</row>
    <row r="40" spans="1:18" x14ac:dyDescent="0.2">
      <c r="A40" s="368"/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</row>
    <row r="41" spans="1:18" x14ac:dyDescent="0.2">
      <c r="A41" s="368"/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</row>
    <row r="42" spans="1:18" x14ac:dyDescent="0.2">
      <c r="A42" s="368"/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</row>
    <row r="43" spans="1:18" x14ac:dyDescent="0.2">
      <c r="A43" s="368"/>
      <c r="B43" s="368"/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</row>
    <row r="44" spans="1:18" x14ac:dyDescent="0.2">
      <c r="A44" s="368"/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</row>
    <row r="45" spans="1:18" x14ac:dyDescent="0.2">
      <c r="A45" s="368"/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</row>
    <row r="46" spans="1:18" x14ac:dyDescent="0.2">
      <c r="A46" s="368"/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</row>
    <row r="47" spans="1:18" x14ac:dyDescent="0.2">
      <c r="A47" s="368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</row>
    <row r="48" spans="1:18" x14ac:dyDescent="0.2">
      <c r="A48" s="368"/>
      <c r="B48" s="368"/>
      <c r="C48" s="368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68"/>
      <c r="R48" s="368"/>
    </row>
    <row r="49" spans="1:18" x14ac:dyDescent="0.2">
      <c r="A49" s="368"/>
      <c r="B49" s="368"/>
      <c r="C49" s="368"/>
      <c r="D49" s="368"/>
      <c r="E49" s="368"/>
      <c r="F49" s="368"/>
      <c r="G49" s="368"/>
      <c r="H49" s="368"/>
      <c r="I49" s="368"/>
      <c r="J49" s="368"/>
      <c r="K49" s="368"/>
      <c r="L49" s="368"/>
      <c r="M49" s="368"/>
      <c r="N49" s="368"/>
      <c r="O49" s="368"/>
      <c r="P49" s="368"/>
      <c r="Q49" s="368"/>
      <c r="R49" s="368"/>
    </row>
    <row r="50" spans="1:18" x14ac:dyDescent="0.2">
      <c r="A50" s="368"/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</row>
  </sheetData>
  <conditionalFormatting sqref="A1:R50">
    <cfRule type="cellIs" dxfId="198" priority="1" stopIfTrue="1" operator="equal">
      <formula>FALSE</formula>
    </cfRule>
    <cfRule type="cellIs" dxfId="197" priority="2" stopIfTrue="1" operator="equal">
      <formula>TRUE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8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8" width="7.625" style="568" bestFit="1" customWidth="1"/>
    <col min="9" max="9" width="5" style="568" bestFit="1" customWidth="1"/>
    <col min="10" max="10" width="8.375" style="568" bestFit="1" customWidth="1"/>
    <col min="11" max="11" width="18.75" style="568" bestFit="1" customWidth="1"/>
    <col min="12" max="13" width="11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4" width="7.625" style="568" bestFit="1" customWidth="1"/>
    <col min="265" max="265" width="5" style="568" bestFit="1" customWidth="1"/>
    <col min="266" max="266" width="8.375" style="568" bestFit="1" customWidth="1"/>
    <col min="267" max="267" width="18.75" style="568" bestFit="1" customWidth="1"/>
    <col min="268" max="269" width="11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20" width="7.625" style="568" bestFit="1" customWidth="1"/>
    <col min="521" max="521" width="5" style="568" bestFit="1" customWidth="1"/>
    <col min="522" max="522" width="8.375" style="568" bestFit="1" customWidth="1"/>
    <col min="523" max="523" width="18.75" style="568" bestFit="1" customWidth="1"/>
    <col min="524" max="525" width="11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6" width="7.625" style="568" bestFit="1" customWidth="1"/>
    <col min="777" max="777" width="5" style="568" bestFit="1" customWidth="1"/>
    <col min="778" max="778" width="8.375" style="568" bestFit="1" customWidth="1"/>
    <col min="779" max="779" width="18.75" style="568" bestFit="1" customWidth="1"/>
    <col min="780" max="781" width="11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2" width="7.625" style="568" bestFit="1" customWidth="1"/>
    <col min="1033" max="1033" width="5" style="568" bestFit="1" customWidth="1"/>
    <col min="1034" max="1034" width="8.375" style="568" bestFit="1" customWidth="1"/>
    <col min="1035" max="1035" width="18.75" style="568" bestFit="1" customWidth="1"/>
    <col min="1036" max="1037" width="11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8" width="7.625" style="568" bestFit="1" customWidth="1"/>
    <col min="1289" max="1289" width="5" style="568" bestFit="1" customWidth="1"/>
    <col min="1290" max="1290" width="8.375" style="568" bestFit="1" customWidth="1"/>
    <col min="1291" max="1291" width="18.75" style="568" bestFit="1" customWidth="1"/>
    <col min="1292" max="1293" width="11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4" width="7.625" style="568" bestFit="1" customWidth="1"/>
    <col min="1545" max="1545" width="5" style="568" bestFit="1" customWidth="1"/>
    <col min="1546" max="1546" width="8.375" style="568" bestFit="1" customWidth="1"/>
    <col min="1547" max="1547" width="18.75" style="568" bestFit="1" customWidth="1"/>
    <col min="1548" max="1549" width="11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800" width="7.625" style="568" bestFit="1" customWidth="1"/>
    <col min="1801" max="1801" width="5" style="568" bestFit="1" customWidth="1"/>
    <col min="1802" max="1802" width="8.375" style="568" bestFit="1" customWidth="1"/>
    <col min="1803" max="1803" width="18.75" style="568" bestFit="1" customWidth="1"/>
    <col min="1804" max="1805" width="11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6" width="7.625" style="568" bestFit="1" customWidth="1"/>
    <col min="2057" max="2057" width="5" style="568" bestFit="1" customWidth="1"/>
    <col min="2058" max="2058" width="8.375" style="568" bestFit="1" customWidth="1"/>
    <col min="2059" max="2059" width="18.75" style="568" bestFit="1" customWidth="1"/>
    <col min="2060" max="2061" width="11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2" width="7.625" style="568" bestFit="1" customWidth="1"/>
    <col min="2313" max="2313" width="5" style="568" bestFit="1" customWidth="1"/>
    <col min="2314" max="2314" width="8.375" style="568" bestFit="1" customWidth="1"/>
    <col min="2315" max="2315" width="18.75" style="568" bestFit="1" customWidth="1"/>
    <col min="2316" max="2317" width="11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8" width="7.625" style="568" bestFit="1" customWidth="1"/>
    <col min="2569" max="2569" width="5" style="568" bestFit="1" customWidth="1"/>
    <col min="2570" max="2570" width="8.375" style="568" bestFit="1" customWidth="1"/>
    <col min="2571" max="2571" width="18.75" style="568" bestFit="1" customWidth="1"/>
    <col min="2572" max="2573" width="11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4" width="7.625" style="568" bestFit="1" customWidth="1"/>
    <col min="2825" max="2825" width="5" style="568" bestFit="1" customWidth="1"/>
    <col min="2826" max="2826" width="8.375" style="568" bestFit="1" customWidth="1"/>
    <col min="2827" max="2827" width="18.75" style="568" bestFit="1" customWidth="1"/>
    <col min="2828" max="2829" width="11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80" width="7.625" style="568" bestFit="1" customWidth="1"/>
    <col min="3081" max="3081" width="5" style="568" bestFit="1" customWidth="1"/>
    <col min="3082" max="3082" width="8.375" style="568" bestFit="1" customWidth="1"/>
    <col min="3083" max="3083" width="18.75" style="568" bestFit="1" customWidth="1"/>
    <col min="3084" max="3085" width="11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6" width="7.625" style="568" bestFit="1" customWidth="1"/>
    <col min="3337" max="3337" width="5" style="568" bestFit="1" customWidth="1"/>
    <col min="3338" max="3338" width="8.375" style="568" bestFit="1" customWidth="1"/>
    <col min="3339" max="3339" width="18.75" style="568" bestFit="1" customWidth="1"/>
    <col min="3340" max="3341" width="11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2" width="7.625" style="568" bestFit="1" customWidth="1"/>
    <col min="3593" max="3593" width="5" style="568" bestFit="1" customWidth="1"/>
    <col min="3594" max="3594" width="8.375" style="568" bestFit="1" customWidth="1"/>
    <col min="3595" max="3595" width="18.75" style="568" bestFit="1" customWidth="1"/>
    <col min="3596" max="3597" width="11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8" width="7.625" style="568" bestFit="1" customWidth="1"/>
    <col min="3849" max="3849" width="5" style="568" bestFit="1" customWidth="1"/>
    <col min="3850" max="3850" width="8.375" style="568" bestFit="1" customWidth="1"/>
    <col min="3851" max="3851" width="18.75" style="568" bestFit="1" customWidth="1"/>
    <col min="3852" max="3853" width="11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4" width="7.625" style="568" bestFit="1" customWidth="1"/>
    <col min="4105" max="4105" width="5" style="568" bestFit="1" customWidth="1"/>
    <col min="4106" max="4106" width="8.375" style="568" bestFit="1" customWidth="1"/>
    <col min="4107" max="4107" width="18.75" style="568" bestFit="1" customWidth="1"/>
    <col min="4108" max="4109" width="11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60" width="7.625" style="568" bestFit="1" customWidth="1"/>
    <col min="4361" max="4361" width="5" style="568" bestFit="1" customWidth="1"/>
    <col min="4362" max="4362" width="8.375" style="568" bestFit="1" customWidth="1"/>
    <col min="4363" max="4363" width="18.75" style="568" bestFit="1" customWidth="1"/>
    <col min="4364" max="4365" width="11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6" width="7.625" style="568" bestFit="1" customWidth="1"/>
    <col min="4617" max="4617" width="5" style="568" bestFit="1" customWidth="1"/>
    <col min="4618" max="4618" width="8.375" style="568" bestFit="1" customWidth="1"/>
    <col min="4619" max="4619" width="18.75" style="568" bestFit="1" customWidth="1"/>
    <col min="4620" max="4621" width="11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2" width="7.625" style="568" bestFit="1" customWidth="1"/>
    <col min="4873" max="4873" width="5" style="568" bestFit="1" customWidth="1"/>
    <col min="4874" max="4874" width="8.375" style="568" bestFit="1" customWidth="1"/>
    <col min="4875" max="4875" width="18.75" style="568" bestFit="1" customWidth="1"/>
    <col min="4876" max="4877" width="11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8" width="7.625" style="568" bestFit="1" customWidth="1"/>
    <col min="5129" max="5129" width="5" style="568" bestFit="1" customWidth="1"/>
    <col min="5130" max="5130" width="8.375" style="568" bestFit="1" customWidth="1"/>
    <col min="5131" max="5131" width="18.75" style="568" bestFit="1" customWidth="1"/>
    <col min="5132" max="5133" width="11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4" width="7.625" style="568" bestFit="1" customWidth="1"/>
    <col min="5385" max="5385" width="5" style="568" bestFit="1" customWidth="1"/>
    <col min="5386" max="5386" width="8.375" style="568" bestFit="1" customWidth="1"/>
    <col min="5387" max="5387" width="18.75" style="568" bestFit="1" customWidth="1"/>
    <col min="5388" max="5389" width="11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40" width="7.625" style="568" bestFit="1" customWidth="1"/>
    <col min="5641" max="5641" width="5" style="568" bestFit="1" customWidth="1"/>
    <col min="5642" max="5642" width="8.375" style="568" bestFit="1" customWidth="1"/>
    <col min="5643" max="5643" width="18.75" style="568" bestFit="1" customWidth="1"/>
    <col min="5644" max="5645" width="11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6" width="7.625" style="568" bestFit="1" customWidth="1"/>
    <col min="5897" max="5897" width="5" style="568" bestFit="1" customWidth="1"/>
    <col min="5898" max="5898" width="8.375" style="568" bestFit="1" customWidth="1"/>
    <col min="5899" max="5899" width="18.75" style="568" bestFit="1" customWidth="1"/>
    <col min="5900" max="5901" width="11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2" width="7.625" style="568" bestFit="1" customWidth="1"/>
    <col min="6153" max="6153" width="5" style="568" bestFit="1" customWidth="1"/>
    <col min="6154" max="6154" width="8.375" style="568" bestFit="1" customWidth="1"/>
    <col min="6155" max="6155" width="18.75" style="568" bestFit="1" customWidth="1"/>
    <col min="6156" max="6157" width="11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8" width="7.625" style="568" bestFit="1" customWidth="1"/>
    <col min="6409" max="6409" width="5" style="568" bestFit="1" customWidth="1"/>
    <col min="6410" max="6410" width="8.375" style="568" bestFit="1" customWidth="1"/>
    <col min="6411" max="6411" width="18.75" style="568" bestFit="1" customWidth="1"/>
    <col min="6412" max="6413" width="11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4" width="7.625" style="568" bestFit="1" customWidth="1"/>
    <col min="6665" max="6665" width="5" style="568" bestFit="1" customWidth="1"/>
    <col min="6666" max="6666" width="8.375" style="568" bestFit="1" customWidth="1"/>
    <col min="6667" max="6667" width="18.75" style="568" bestFit="1" customWidth="1"/>
    <col min="6668" max="6669" width="11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20" width="7.625" style="568" bestFit="1" customWidth="1"/>
    <col min="6921" max="6921" width="5" style="568" bestFit="1" customWidth="1"/>
    <col min="6922" max="6922" width="8.375" style="568" bestFit="1" customWidth="1"/>
    <col min="6923" max="6923" width="18.75" style="568" bestFit="1" customWidth="1"/>
    <col min="6924" max="6925" width="11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6" width="7.625" style="568" bestFit="1" customWidth="1"/>
    <col min="7177" max="7177" width="5" style="568" bestFit="1" customWidth="1"/>
    <col min="7178" max="7178" width="8.375" style="568" bestFit="1" customWidth="1"/>
    <col min="7179" max="7179" width="18.75" style="568" bestFit="1" customWidth="1"/>
    <col min="7180" max="7181" width="11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2" width="7.625" style="568" bestFit="1" customWidth="1"/>
    <col min="7433" max="7433" width="5" style="568" bestFit="1" customWidth="1"/>
    <col min="7434" max="7434" width="8.375" style="568" bestFit="1" customWidth="1"/>
    <col min="7435" max="7435" width="18.75" style="568" bestFit="1" customWidth="1"/>
    <col min="7436" max="7437" width="11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8" width="7.625" style="568" bestFit="1" customWidth="1"/>
    <col min="7689" max="7689" width="5" style="568" bestFit="1" customWidth="1"/>
    <col min="7690" max="7690" width="8.375" style="568" bestFit="1" customWidth="1"/>
    <col min="7691" max="7691" width="18.75" style="568" bestFit="1" customWidth="1"/>
    <col min="7692" max="7693" width="11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4" width="7.625" style="568" bestFit="1" customWidth="1"/>
    <col min="7945" max="7945" width="5" style="568" bestFit="1" customWidth="1"/>
    <col min="7946" max="7946" width="8.375" style="568" bestFit="1" customWidth="1"/>
    <col min="7947" max="7947" width="18.75" style="568" bestFit="1" customWidth="1"/>
    <col min="7948" max="7949" width="11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200" width="7.625" style="568" bestFit="1" customWidth="1"/>
    <col min="8201" max="8201" width="5" style="568" bestFit="1" customWidth="1"/>
    <col min="8202" max="8202" width="8.375" style="568" bestFit="1" customWidth="1"/>
    <col min="8203" max="8203" width="18.75" style="568" bestFit="1" customWidth="1"/>
    <col min="8204" max="8205" width="11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6" width="7.625" style="568" bestFit="1" customWidth="1"/>
    <col min="8457" max="8457" width="5" style="568" bestFit="1" customWidth="1"/>
    <col min="8458" max="8458" width="8.375" style="568" bestFit="1" customWidth="1"/>
    <col min="8459" max="8459" width="18.75" style="568" bestFit="1" customWidth="1"/>
    <col min="8460" max="8461" width="11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2" width="7.625" style="568" bestFit="1" customWidth="1"/>
    <col min="8713" max="8713" width="5" style="568" bestFit="1" customWidth="1"/>
    <col min="8714" max="8714" width="8.375" style="568" bestFit="1" customWidth="1"/>
    <col min="8715" max="8715" width="18.75" style="568" bestFit="1" customWidth="1"/>
    <col min="8716" max="8717" width="11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8" width="7.625" style="568" bestFit="1" customWidth="1"/>
    <col min="8969" max="8969" width="5" style="568" bestFit="1" customWidth="1"/>
    <col min="8970" max="8970" width="8.375" style="568" bestFit="1" customWidth="1"/>
    <col min="8971" max="8971" width="18.75" style="568" bestFit="1" customWidth="1"/>
    <col min="8972" max="8973" width="11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4" width="7.625" style="568" bestFit="1" customWidth="1"/>
    <col min="9225" max="9225" width="5" style="568" bestFit="1" customWidth="1"/>
    <col min="9226" max="9226" width="8.375" style="568" bestFit="1" customWidth="1"/>
    <col min="9227" max="9227" width="18.75" style="568" bestFit="1" customWidth="1"/>
    <col min="9228" max="9229" width="11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80" width="7.625" style="568" bestFit="1" customWidth="1"/>
    <col min="9481" max="9481" width="5" style="568" bestFit="1" customWidth="1"/>
    <col min="9482" max="9482" width="8.375" style="568" bestFit="1" customWidth="1"/>
    <col min="9483" max="9483" width="18.75" style="568" bestFit="1" customWidth="1"/>
    <col min="9484" max="9485" width="11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6" width="7.625" style="568" bestFit="1" customWidth="1"/>
    <col min="9737" max="9737" width="5" style="568" bestFit="1" customWidth="1"/>
    <col min="9738" max="9738" width="8.375" style="568" bestFit="1" customWidth="1"/>
    <col min="9739" max="9739" width="18.75" style="568" bestFit="1" customWidth="1"/>
    <col min="9740" max="9741" width="11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2" width="7.625" style="568" bestFit="1" customWidth="1"/>
    <col min="9993" max="9993" width="5" style="568" bestFit="1" customWidth="1"/>
    <col min="9994" max="9994" width="8.375" style="568" bestFit="1" customWidth="1"/>
    <col min="9995" max="9995" width="18.75" style="568" bestFit="1" customWidth="1"/>
    <col min="9996" max="9997" width="11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8" width="7.625" style="568" bestFit="1" customWidth="1"/>
    <col min="10249" max="10249" width="5" style="568" bestFit="1" customWidth="1"/>
    <col min="10250" max="10250" width="8.375" style="568" bestFit="1" customWidth="1"/>
    <col min="10251" max="10251" width="18.75" style="568" bestFit="1" customWidth="1"/>
    <col min="10252" max="10253" width="11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4" width="7.625" style="568" bestFit="1" customWidth="1"/>
    <col min="10505" max="10505" width="5" style="568" bestFit="1" customWidth="1"/>
    <col min="10506" max="10506" width="8.375" style="568" bestFit="1" customWidth="1"/>
    <col min="10507" max="10507" width="18.75" style="568" bestFit="1" customWidth="1"/>
    <col min="10508" max="10509" width="11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60" width="7.625" style="568" bestFit="1" customWidth="1"/>
    <col min="10761" max="10761" width="5" style="568" bestFit="1" customWidth="1"/>
    <col min="10762" max="10762" width="8.375" style="568" bestFit="1" customWidth="1"/>
    <col min="10763" max="10763" width="18.75" style="568" bestFit="1" customWidth="1"/>
    <col min="10764" max="10765" width="11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6" width="7.625" style="568" bestFit="1" customWidth="1"/>
    <col min="11017" max="11017" width="5" style="568" bestFit="1" customWidth="1"/>
    <col min="11018" max="11018" width="8.375" style="568" bestFit="1" customWidth="1"/>
    <col min="11019" max="11019" width="18.75" style="568" bestFit="1" customWidth="1"/>
    <col min="11020" max="11021" width="11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2" width="7.625" style="568" bestFit="1" customWidth="1"/>
    <col min="11273" max="11273" width="5" style="568" bestFit="1" customWidth="1"/>
    <col min="11274" max="11274" width="8.375" style="568" bestFit="1" customWidth="1"/>
    <col min="11275" max="11275" width="18.75" style="568" bestFit="1" customWidth="1"/>
    <col min="11276" max="11277" width="11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8" width="7.625" style="568" bestFit="1" customWidth="1"/>
    <col min="11529" max="11529" width="5" style="568" bestFit="1" customWidth="1"/>
    <col min="11530" max="11530" width="8.375" style="568" bestFit="1" customWidth="1"/>
    <col min="11531" max="11531" width="18.75" style="568" bestFit="1" customWidth="1"/>
    <col min="11532" max="11533" width="11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4" width="7.625" style="568" bestFit="1" customWidth="1"/>
    <col min="11785" max="11785" width="5" style="568" bestFit="1" customWidth="1"/>
    <col min="11786" max="11786" width="8.375" style="568" bestFit="1" customWidth="1"/>
    <col min="11787" max="11787" width="18.75" style="568" bestFit="1" customWidth="1"/>
    <col min="11788" max="11789" width="11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40" width="7.625" style="568" bestFit="1" customWidth="1"/>
    <col min="12041" max="12041" width="5" style="568" bestFit="1" customWidth="1"/>
    <col min="12042" max="12042" width="8.375" style="568" bestFit="1" customWidth="1"/>
    <col min="12043" max="12043" width="18.75" style="568" bestFit="1" customWidth="1"/>
    <col min="12044" max="12045" width="11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6" width="7.625" style="568" bestFit="1" customWidth="1"/>
    <col min="12297" max="12297" width="5" style="568" bestFit="1" customWidth="1"/>
    <col min="12298" max="12298" width="8.375" style="568" bestFit="1" customWidth="1"/>
    <col min="12299" max="12299" width="18.75" style="568" bestFit="1" customWidth="1"/>
    <col min="12300" max="12301" width="11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2" width="7.625" style="568" bestFit="1" customWidth="1"/>
    <col min="12553" max="12553" width="5" style="568" bestFit="1" customWidth="1"/>
    <col min="12554" max="12554" width="8.375" style="568" bestFit="1" customWidth="1"/>
    <col min="12555" max="12555" width="18.75" style="568" bestFit="1" customWidth="1"/>
    <col min="12556" max="12557" width="11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8" width="7.625" style="568" bestFit="1" customWidth="1"/>
    <col min="12809" max="12809" width="5" style="568" bestFit="1" customWidth="1"/>
    <col min="12810" max="12810" width="8.375" style="568" bestFit="1" customWidth="1"/>
    <col min="12811" max="12811" width="18.75" style="568" bestFit="1" customWidth="1"/>
    <col min="12812" max="12813" width="11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4" width="7.625" style="568" bestFit="1" customWidth="1"/>
    <col min="13065" max="13065" width="5" style="568" bestFit="1" customWidth="1"/>
    <col min="13066" max="13066" width="8.375" style="568" bestFit="1" customWidth="1"/>
    <col min="13067" max="13067" width="18.75" style="568" bestFit="1" customWidth="1"/>
    <col min="13068" max="13069" width="11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20" width="7.625" style="568" bestFit="1" customWidth="1"/>
    <col min="13321" max="13321" width="5" style="568" bestFit="1" customWidth="1"/>
    <col min="13322" max="13322" width="8.375" style="568" bestFit="1" customWidth="1"/>
    <col min="13323" max="13323" width="18.75" style="568" bestFit="1" customWidth="1"/>
    <col min="13324" max="13325" width="11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6" width="7.625" style="568" bestFit="1" customWidth="1"/>
    <col min="13577" max="13577" width="5" style="568" bestFit="1" customWidth="1"/>
    <col min="13578" max="13578" width="8.375" style="568" bestFit="1" customWidth="1"/>
    <col min="13579" max="13579" width="18.75" style="568" bestFit="1" customWidth="1"/>
    <col min="13580" max="13581" width="11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2" width="7.625" style="568" bestFit="1" customWidth="1"/>
    <col min="13833" max="13833" width="5" style="568" bestFit="1" customWidth="1"/>
    <col min="13834" max="13834" width="8.375" style="568" bestFit="1" customWidth="1"/>
    <col min="13835" max="13835" width="18.75" style="568" bestFit="1" customWidth="1"/>
    <col min="13836" max="13837" width="11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8" width="7.625" style="568" bestFit="1" customWidth="1"/>
    <col min="14089" max="14089" width="5" style="568" bestFit="1" customWidth="1"/>
    <col min="14090" max="14090" width="8.375" style="568" bestFit="1" customWidth="1"/>
    <col min="14091" max="14091" width="18.75" style="568" bestFit="1" customWidth="1"/>
    <col min="14092" max="14093" width="11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4" width="7.625" style="568" bestFit="1" customWidth="1"/>
    <col min="14345" max="14345" width="5" style="568" bestFit="1" customWidth="1"/>
    <col min="14346" max="14346" width="8.375" style="568" bestFit="1" customWidth="1"/>
    <col min="14347" max="14347" width="18.75" style="568" bestFit="1" customWidth="1"/>
    <col min="14348" max="14349" width="11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600" width="7.625" style="568" bestFit="1" customWidth="1"/>
    <col min="14601" max="14601" width="5" style="568" bestFit="1" customWidth="1"/>
    <col min="14602" max="14602" width="8.375" style="568" bestFit="1" customWidth="1"/>
    <col min="14603" max="14603" width="18.75" style="568" bestFit="1" customWidth="1"/>
    <col min="14604" max="14605" width="11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6" width="7.625" style="568" bestFit="1" customWidth="1"/>
    <col min="14857" max="14857" width="5" style="568" bestFit="1" customWidth="1"/>
    <col min="14858" max="14858" width="8.375" style="568" bestFit="1" customWidth="1"/>
    <col min="14859" max="14859" width="18.75" style="568" bestFit="1" customWidth="1"/>
    <col min="14860" max="14861" width="11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2" width="7.625" style="568" bestFit="1" customWidth="1"/>
    <col min="15113" max="15113" width="5" style="568" bestFit="1" customWidth="1"/>
    <col min="15114" max="15114" width="8.375" style="568" bestFit="1" customWidth="1"/>
    <col min="15115" max="15115" width="18.75" style="568" bestFit="1" customWidth="1"/>
    <col min="15116" max="15117" width="11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8" width="7.625" style="568" bestFit="1" customWidth="1"/>
    <col min="15369" max="15369" width="5" style="568" bestFit="1" customWidth="1"/>
    <col min="15370" max="15370" width="8.375" style="568" bestFit="1" customWidth="1"/>
    <col min="15371" max="15371" width="18.75" style="568" bestFit="1" customWidth="1"/>
    <col min="15372" max="15373" width="11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4" width="7.625" style="568" bestFit="1" customWidth="1"/>
    <col min="15625" max="15625" width="5" style="568" bestFit="1" customWidth="1"/>
    <col min="15626" max="15626" width="8.375" style="568" bestFit="1" customWidth="1"/>
    <col min="15627" max="15627" width="18.75" style="568" bestFit="1" customWidth="1"/>
    <col min="15628" max="15629" width="11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80" width="7.625" style="568" bestFit="1" customWidth="1"/>
    <col min="15881" max="15881" width="5" style="568" bestFit="1" customWidth="1"/>
    <col min="15882" max="15882" width="8.375" style="568" bestFit="1" customWidth="1"/>
    <col min="15883" max="15883" width="18.75" style="568" bestFit="1" customWidth="1"/>
    <col min="15884" max="15885" width="11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6" width="7.625" style="568" bestFit="1" customWidth="1"/>
    <col min="16137" max="16137" width="5" style="568" bestFit="1" customWidth="1"/>
    <col min="16138" max="16138" width="8.375" style="568" bestFit="1" customWidth="1"/>
    <col min="16139" max="16139" width="18.75" style="568" bestFit="1" customWidth="1"/>
    <col min="16140" max="16141" width="11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791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401</v>
      </c>
      <c r="J9" s="567" t="s">
        <v>327</v>
      </c>
      <c r="K9" s="567" t="s">
        <v>329</v>
      </c>
      <c r="L9" s="567" t="s">
        <v>330</v>
      </c>
      <c r="M9" s="567" t="s">
        <v>331</v>
      </c>
      <c r="N9" s="567" t="s">
        <v>1005</v>
      </c>
      <c r="O9" s="567" t="s">
        <v>1006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0.13643518518518519</v>
      </c>
      <c r="E10" s="567">
        <v>94304</v>
      </c>
      <c r="F10" s="567" t="s">
        <v>1001</v>
      </c>
      <c r="G10" s="567" t="s">
        <v>326</v>
      </c>
      <c r="H10" s="567">
        <v>0</v>
      </c>
      <c r="I10" s="567">
        <v>401</v>
      </c>
      <c r="J10" s="567" t="s">
        <v>327</v>
      </c>
      <c r="K10" s="567" t="s">
        <v>329</v>
      </c>
      <c r="L10" s="567" t="s">
        <v>330</v>
      </c>
      <c r="M10" s="567" t="s">
        <v>331</v>
      </c>
      <c r="N10" s="567" t="s">
        <v>1005</v>
      </c>
      <c r="O10" s="567" t="s">
        <v>1006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0.1451388888888889</v>
      </c>
      <c r="E11" s="567">
        <v>6016</v>
      </c>
      <c r="F11" s="567" t="s">
        <v>335</v>
      </c>
      <c r="G11" s="567">
        <v>0</v>
      </c>
      <c r="H11" s="567" t="s">
        <v>326</v>
      </c>
      <c r="I11" s="567" t="s">
        <v>336</v>
      </c>
      <c r="J11" s="567">
        <v>0</v>
      </c>
      <c r="K11" s="567" t="s">
        <v>337</v>
      </c>
      <c r="L11" s="567">
        <v>45</v>
      </c>
      <c r="M11" s="567">
        <v>1</v>
      </c>
    </row>
    <row r="12" spans="1:18" ht="15" x14ac:dyDescent="0.2">
      <c r="A12" s="567"/>
      <c r="B12" s="567"/>
      <c r="C12" s="567"/>
      <c r="D12" s="569">
        <v>0.14861111111111111</v>
      </c>
      <c r="E12" s="567">
        <v>0</v>
      </c>
      <c r="F12" s="567" t="s">
        <v>1001</v>
      </c>
      <c r="G12" s="567" t="s">
        <v>326</v>
      </c>
      <c r="H12" s="567">
        <v>0</v>
      </c>
      <c r="I12" s="567">
        <v>97</v>
      </c>
      <c r="J12" s="567" t="s">
        <v>327</v>
      </c>
      <c r="K12" s="567" t="s">
        <v>1002</v>
      </c>
      <c r="L12" s="567" t="s">
        <v>1003</v>
      </c>
      <c r="M12" s="567" t="s">
        <v>1004</v>
      </c>
      <c r="N12" s="567" t="s">
        <v>1011</v>
      </c>
      <c r="O12" s="567" t="s">
        <v>1012</v>
      </c>
      <c r="P12" s="567" t="s">
        <v>1007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0.19234953703703703</v>
      </c>
      <c r="E13" s="567">
        <v>30232</v>
      </c>
      <c r="F13" s="567" t="s">
        <v>1001</v>
      </c>
      <c r="G13" s="567" t="s">
        <v>326</v>
      </c>
      <c r="H13" s="567">
        <v>0</v>
      </c>
      <c r="I13" s="567">
        <v>97</v>
      </c>
      <c r="J13" s="567" t="s">
        <v>327</v>
      </c>
      <c r="K13" s="567" t="s">
        <v>1002</v>
      </c>
      <c r="L13" s="567" t="s">
        <v>1003</v>
      </c>
      <c r="M13" s="567" t="s">
        <v>1004</v>
      </c>
      <c r="N13" s="567" t="s">
        <v>1011</v>
      </c>
      <c r="O13" s="567" t="s">
        <v>1012</v>
      </c>
      <c r="P13" s="567" t="s">
        <v>1009</v>
      </c>
      <c r="Q13" s="567" t="s">
        <v>1008</v>
      </c>
      <c r="R13" s="567">
        <v>80</v>
      </c>
    </row>
    <row r="14" spans="1:18" ht="15" x14ac:dyDescent="0.2">
      <c r="A14" s="567"/>
      <c r="B14" s="567"/>
      <c r="C14" s="567"/>
      <c r="D14" s="569">
        <v>0.19513888888888889</v>
      </c>
      <c r="E14" s="567">
        <v>1928</v>
      </c>
      <c r="F14" s="567" t="s">
        <v>1001</v>
      </c>
      <c r="G14" s="567" t="s">
        <v>326</v>
      </c>
      <c r="H14" s="567">
        <v>0</v>
      </c>
      <c r="I14" s="567">
        <v>401</v>
      </c>
      <c r="J14" s="567" t="s">
        <v>327</v>
      </c>
      <c r="K14" s="567" t="s">
        <v>1002</v>
      </c>
      <c r="L14" s="567" t="s">
        <v>1003</v>
      </c>
      <c r="M14" s="567" t="s">
        <v>1004</v>
      </c>
      <c r="N14" s="567" t="s">
        <v>1011</v>
      </c>
      <c r="O14" s="567" t="s">
        <v>1012</v>
      </c>
      <c r="P14" s="567" t="s">
        <v>1007</v>
      </c>
      <c r="Q14" s="567" t="s">
        <v>1008</v>
      </c>
      <c r="R14" s="567">
        <v>80</v>
      </c>
    </row>
    <row r="15" spans="1:18" ht="15" x14ac:dyDescent="0.2">
      <c r="A15" s="567"/>
      <c r="B15" s="567"/>
      <c r="C15" s="567"/>
      <c r="D15" s="569">
        <v>0.3041550925925926</v>
      </c>
      <c r="E15" s="567">
        <v>75352</v>
      </c>
      <c r="F15" s="567" t="s">
        <v>1001</v>
      </c>
      <c r="G15" s="567" t="s">
        <v>326</v>
      </c>
      <c r="H15" s="567">
        <v>0</v>
      </c>
      <c r="I15" s="567">
        <v>401</v>
      </c>
      <c r="J15" s="567" t="s">
        <v>327</v>
      </c>
      <c r="K15" s="567" t="s">
        <v>1002</v>
      </c>
      <c r="L15" s="567" t="s">
        <v>1003</v>
      </c>
      <c r="M15" s="567" t="s">
        <v>1004</v>
      </c>
      <c r="N15" s="567" t="s">
        <v>1011</v>
      </c>
      <c r="O15" s="567" t="s">
        <v>1012</v>
      </c>
      <c r="P15" s="567" t="s">
        <v>1009</v>
      </c>
      <c r="Q15" s="567" t="s">
        <v>1008</v>
      </c>
      <c r="R15" s="567">
        <v>80</v>
      </c>
    </row>
    <row r="16" spans="1:18" ht="15" x14ac:dyDescent="0.2">
      <c r="A16" s="567"/>
      <c r="B16" s="567"/>
      <c r="C16" s="567"/>
      <c r="D16" s="569">
        <v>0.31111111111111112</v>
      </c>
      <c r="E16" s="567">
        <v>4808</v>
      </c>
      <c r="F16" s="567" t="s">
        <v>1001</v>
      </c>
      <c r="G16" s="567" t="s">
        <v>326</v>
      </c>
      <c r="H16" s="567">
        <v>0</v>
      </c>
      <c r="I16" s="567">
        <v>39</v>
      </c>
      <c r="J16" s="567" t="s">
        <v>327</v>
      </c>
      <c r="K16" s="567" t="s">
        <v>329</v>
      </c>
      <c r="L16" s="567" t="s">
        <v>330</v>
      </c>
      <c r="M16" s="567" t="s">
        <v>331</v>
      </c>
      <c r="N16" s="567" t="s">
        <v>1005</v>
      </c>
      <c r="O16" s="567" t="s">
        <v>1006</v>
      </c>
      <c r="P16" s="567" t="s">
        <v>1007</v>
      </c>
      <c r="Q16" s="567" t="s">
        <v>1008</v>
      </c>
      <c r="R16" s="567">
        <v>80</v>
      </c>
    </row>
    <row r="17" spans="1:18" ht="15" x14ac:dyDescent="0.2">
      <c r="A17" s="567"/>
      <c r="B17" s="567"/>
      <c r="C17" s="567"/>
      <c r="D17" s="569">
        <v>0.33134259259259258</v>
      </c>
      <c r="E17" s="567">
        <v>13984</v>
      </c>
      <c r="F17" s="567" t="s">
        <v>1001</v>
      </c>
      <c r="G17" s="567" t="s">
        <v>326</v>
      </c>
      <c r="H17" s="567">
        <v>0</v>
      </c>
      <c r="I17" s="567">
        <v>39</v>
      </c>
      <c r="J17" s="567" t="s">
        <v>327</v>
      </c>
      <c r="K17" s="567" t="s">
        <v>329</v>
      </c>
      <c r="L17" s="567" t="s">
        <v>330</v>
      </c>
      <c r="M17" s="567" t="s">
        <v>331</v>
      </c>
      <c r="N17" s="567" t="s">
        <v>1005</v>
      </c>
      <c r="O17" s="567" t="s">
        <v>1006</v>
      </c>
      <c r="P17" s="567" t="s">
        <v>1009</v>
      </c>
      <c r="Q17" s="567" t="s">
        <v>1008</v>
      </c>
      <c r="R17" s="567">
        <v>80</v>
      </c>
    </row>
    <row r="18" spans="1:18" ht="15" x14ac:dyDescent="0.2">
      <c r="A18" s="567"/>
      <c r="B18" s="567"/>
      <c r="C18" s="567"/>
      <c r="D18" s="569">
        <v>0.33134259259259258</v>
      </c>
      <c r="E18" s="567">
        <v>0</v>
      </c>
      <c r="F18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7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7" width="7.625" style="568" bestFit="1" customWidth="1"/>
    <col min="8" max="8" width="2.25" style="568" bestFit="1" customWidth="1"/>
    <col min="9" max="9" width="4.375" style="568" bestFit="1" customWidth="1"/>
    <col min="10" max="10" width="8.375" style="568" bestFit="1" customWidth="1"/>
    <col min="11" max="13" width="11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3" width="7.625" style="568" bestFit="1" customWidth="1"/>
    <col min="264" max="264" width="2.25" style="568" bestFit="1" customWidth="1"/>
    <col min="265" max="265" width="4.375" style="568" bestFit="1" customWidth="1"/>
    <col min="266" max="266" width="8.375" style="568" bestFit="1" customWidth="1"/>
    <col min="267" max="269" width="11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19" width="7.625" style="568" bestFit="1" customWidth="1"/>
    <col min="520" max="520" width="2.25" style="568" bestFit="1" customWidth="1"/>
    <col min="521" max="521" width="4.375" style="568" bestFit="1" customWidth="1"/>
    <col min="522" max="522" width="8.375" style="568" bestFit="1" customWidth="1"/>
    <col min="523" max="525" width="11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5" width="7.625" style="568" bestFit="1" customWidth="1"/>
    <col min="776" max="776" width="2.25" style="568" bestFit="1" customWidth="1"/>
    <col min="777" max="777" width="4.375" style="568" bestFit="1" customWidth="1"/>
    <col min="778" max="778" width="8.375" style="568" bestFit="1" customWidth="1"/>
    <col min="779" max="781" width="11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1" width="7.625" style="568" bestFit="1" customWidth="1"/>
    <col min="1032" max="1032" width="2.25" style="568" bestFit="1" customWidth="1"/>
    <col min="1033" max="1033" width="4.375" style="568" bestFit="1" customWidth="1"/>
    <col min="1034" max="1034" width="8.375" style="568" bestFit="1" customWidth="1"/>
    <col min="1035" max="1037" width="11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7" width="7.625" style="568" bestFit="1" customWidth="1"/>
    <col min="1288" max="1288" width="2.25" style="568" bestFit="1" customWidth="1"/>
    <col min="1289" max="1289" width="4.375" style="568" bestFit="1" customWidth="1"/>
    <col min="1290" max="1290" width="8.375" style="568" bestFit="1" customWidth="1"/>
    <col min="1291" max="1293" width="11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3" width="7.625" style="568" bestFit="1" customWidth="1"/>
    <col min="1544" max="1544" width="2.25" style="568" bestFit="1" customWidth="1"/>
    <col min="1545" max="1545" width="4.375" style="568" bestFit="1" customWidth="1"/>
    <col min="1546" max="1546" width="8.375" style="568" bestFit="1" customWidth="1"/>
    <col min="1547" max="1549" width="11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799" width="7.625" style="568" bestFit="1" customWidth="1"/>
    <col min="1800" max="1800" width="2.25" style="568" bestFit="1" customWidth="1"/>
    <col min="1801" max="1801" width="4.375" style="568" bestFit="1" customWidth="1"/>
    <col min="1802" max="1802" width="8.375" style="568" bestFit="1" customWidth="1"/>
    <col min="1803" max="1805" width="11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5" width="7.625" style="568" bestFit="1" customWidth="1"/>
    <col min="2056" max="2056" width="2.25" style="568" bestFit="1" customWidth="1"/>
    <col min="2057" max="2057" width="4.375" style="568" bestFit="1" customWidth="1"/>
    <col min="2058" max="2058" width="8.375" style="568" bestFit="1" customWidth="1"/>
    <col min="2059" max="2061" width="11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1" width="7.625" style="568" bestFit="1" customWidth="1"/>
    <col min="2312" max="2312" width="2.25" style="568" bestFit="1" customWidth="1"/>
    <col min="2313" max="2313" width="4.375" style="568" bestFit="1" customWidth="1"/>
    <col min="2314" max="2314" width="8.375" style="568" bestFit="1" customWidth="1"/>
    <col min="2315" max="2317" width="11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7" width="7.625" style="568" bestFit="1" customWidth="1"/>
    <col min="2568" max="2568" width="2.25" style="568" bestFit="1" customWidth="1"/>
    <col min="2569" max="2569" width="4.375" style="568" bestFit="1" customWidth="1"/>
    <col min="2570" max="2570" width="8.375" style="568" bestFit="1" customWidth="1"/>
    <col min="2571" max="2573" width="11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3" width="7.625" style="568" bestFit="1" customWidth="1"/>
    <col min="2824" max="2824" width="2.25" style="568" bestFit="1" customWidth="1"/>
    <col min="2825" max="2825" width="4.375" style="568" bestFit="1" customWidth="1"/>
    <col min="2826" max="2826" width="8.375" style="568" bestFit="1" customWidth="1"/>
    <col min="2827" max="2829" width="11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79" width="7.625" style="568" bestFit="1" customWidth="1"/>
    <col min="3080" max="3080" width="2.25" style="568" bestFit="1" customWidth="1"/>
    <col min="3081" max="3081" width="4.375" style="568" bestFit="1" customWidth="1"/>
    <col min="3082" max="3082" width="8.375" style="568" bestFit="1" customWidth="1"/>
    <col min="3083" max="3085" width="11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5" width="7.625" style="568" bestFit="1" customWidth="1"/>
    <col min="3336" max="3336" width="2.25" style="568" bestFit="1" customWidth="1"/>
    <col min="3337" max="3337" width="4.375" style="568" bestFit="1" customWidth="1"/>
    <col min="3338" max="3338" width="8.375" style="568" bestFit="1" customWidth="1"/>
    <col min="3339" max="3341" width="11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1" width="7.625" style="568" bestFit="1" customWidth="1"/>
    <col min="3592" max="3592" width="2.25" style="568" bestFit="1" customWidth="1"/>
    <col min="3593" max="3593" width="4.375" style="568" bestFit="1" customWidth="1"/>
    <col min="3594" max="3594" width="8.375" style="568" bestFit="1" customWidth="1"/>
    <col min="3595" max="3597" width="11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7" width="7.625" style="568" bestFit="1" customWidth="1"/>
    <col min="3848" max="3848" width="2.25" style="568" bestFit="1" customWidth="1"/>
    <col min="3849" max="3849" width="4.375" style="568" bestFit="1" customWidth="1"/>
    <col min="3850" max="3850" width="8.375" style="568" bestFit="1" customWidth="1"/>
    <col min="3851" max="3853" width="11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3" width="7.625" style="568" bestFit="1" customWidth="1"/>
    <col min="4104" max="4104" width="2.25" style="568" bestFit="1" customWidth="1"/>
    <col min="4105" max="4105" width="4.375" style="568" bestFit="1" customWidth="1"/>
    <col min="4106" max="4106" width="8.375" style="568" bestFit="1" customWidth="1"/>
    <col min="4107" max="4109" width="11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59" width="7.625" style="568" bestFit="1" customWidth="1"/>
    <col min="4360" max="4360" width="2.25" style="568" bestFit="1" customWidth="1"/>
    <col min="4361" max="4361" width="4.375" style="568" bestFit="1" customWidth="1"/>
    <col min="4362" max="4362" width="8.375" style="568" bestFit="1" customWidth="1"/>
    <col min="4363" max="4365" width="11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5" width="7.625" style="568" bestFit="1" customWidth="1"/>
    <col min="4616" max="4616" width="2.25" style="568" bestFit="1" customWidth="1"/>
    <col min="4617" max="4617" width="4.375" style="568" bestFit="1" customWidth="1"/>
    <col min="4618" max="4618" width="8.375" style="568" bestFit="1" customWidth="1"/>
    <col min="4619" max="4621" width="11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1" width="7.625" style="568" bestFit="1" customWidth="1"/>
    <col min="4872" max="4872" width="2.25" style="568" bestFit="1" customWidth="1"/>
    <col min="4873" max="4873" width="4.375" style="568" bestFit="1" customWidth="1"/>
    <col min="4874" max="4874" width="8.375" style="568" bestFit="1" customWidth="1"/>
    <col min="4875" max="4877" width="11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7" width="7.625" style="568" bestFit="1" customWidth="1"/>
    <col min="5128" max="5128" width="2.25" style="568" bestFit="1" customWidth="1"/>
    <col min="5129" max="5129" width="4.375" style="568" bestFit="1" customWidth="1"/>
    <col min="5130" max="5130" width="8.375" style="568" bestFit="1" customWidth="1"/>
    <col min="5131" max="5133" width="11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3" width="7.625" style="568" bestFit="1" customWidth="1"/>
    <col min="5384" max="5384" width="2.25" style="568" bestFit="1" customWidth="1"/>
    <col min="5385" max="5385" width="4.375" style="568" bestFit="1" customWidth="1"/>
    <col min="5386" max="5386" width="8.375" style="568" bestFit="1" customWidth="1"/>
    <col min="5387" max="5389" width="11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39" width="7.625" style="568" bestFit="1" customWidth="1"/>
    <col min="5640" max="5640" width="2.25" style="568" bestFit="1" customWidth="1"/>
    <col min="5641" max="5641" width="4.375" style="568" bestFit="1" customWidth="1"/>
    <col min="5642" max="5642" width="8.375" style="568" bestFit="1" customWidth="1"/>
    <col min="5643" max="5645" width="11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5" width="7.625" style="568" bestFit="1" customWidth="1"/>
    <col min="5896" max="5896" width="2.25" style="568" bestFit="1" customWidth="1"/>
    <col min="5897" max="5897" width="4.375" style="568" bestFit="1" customWidth="1"/>
    <col min="5898" max="5898" width="8.375" style="568" bestFit="1" customWidth="1"/>
    <col min="5899" max="5901" width="11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1" width="7.625" style="568" bestFit="1" customWidth="1"/>
    <col min="6152" max="6152" width="2.25" style="568" bestFit="1" customWidth="1"/>
    <col min="6153" max="6153" width="4.375" style="568" bestFit="1" customWidth="1"/>
    <col min="6154" max="6154" width="8.375" style="568" bestFit="1" customWidth="1"/>
    <col min="6155" max="6157" width="11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7" width="7.625" style="568" bestFit="1" customWidth="1"/>
    <col min="6408" max="6408" width="2.25" style="568" bestFit="1" customWidth="1"/>
    <col min="6409" max="6409" width="4.375" style="568" bestFit="1" customWidth="1"/>
    <col min="6410" max="6410" width="8.375" style="568" bestFit="1" customWidth="1"/>
    <col min="6411" max="6413" width="11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3" width="7.625" style="568" bestFit="1" customWidth="1"/>
    <col min="6664" max="6664" width="2.25" style="568" bestFit="1" customWidth="1"/>
    <col min="6665" max="6665" width="4.375" style="568" bestFit="1" customWidth="1"/>
    <col min="6666" max="6666" width="8.375" style="568" bestFit="1" customWidth="1"/>
    <col min="6667" max="6669" width="11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19" width="7.625" style="568" bestFit="1" customWidth="1"/>
    <col min="6920" max="6920" width="2.25" style="568" bestFit="1" customWidth="1"/>
    <col min="6921" max="6921" width="4.375" style="568" bestFit="1" customWidth="1"/>
    <col min="6922" max="6922" width="8.375" style="568" bestFit="1" customWidth="1"/>
    <col min="6923" max="6925" width="11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5" width="7.625" style="568" bestFit="1" customWidth="1"/>
    <col min="7176" max="7176" width="2.25" style="568" bestFit="1" customWidth="1"/>
    <col min="7177" max="7177" width="4.375" style="568" bestFit="1" customWidth="1"/>
    <col min="7178" max="7178" width="8.375" style="568" bestFit="1" customWidth="1"/>
    <col min="7179" max="7181" width="11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1" width="7.625" style="568" bestFit="1" customWidth="1"/>
    <col min="7432" max="7432" width="2.25" style="568" bestFit="1" customWidth="1"/>
    <col min="7433" max="7433" width="4.375" style="568" bestFit="1" customWidth="1"/>
    <col min="7434" max="7434" width="8.375" style="568" bestFit="1" customWidth="1"/>
    <col min="7435" max="7437" width="11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7" width="7.625" style="568" bestFit="1" customWidth="1"/>
    <col min="7688" max="7688" width="2.25" style="568" bestFit="1" customWidth="1"/>
    <col min="7689" max="7689" width="4.375" style="568" bestFit="1" customWidth="1"/>
    <col min="7690" max="7690" width="8.375" style="568" bestFit="1" customWidth="1"/>
    <col min="7691" max="7693" width="11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3" width="7.625" style="568" bestFit="1" customWidth="1"/>
    <col min="7944" max="7944" width="2.25" style="568" bestFit="1" customWidth="1"/>
    <col min="7945" max="7945" width="4.375" style="568" bestFit="1" customWidth="1"/>
    <col min="7946" max="7946" width="8.375" style="568" bestFit="1" customWidth="1"/>
    <col min="7947" max="7949" width="11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199" width="7.625" style="568" bestFit="1" customWidth="1"/>
    <col min="8200" max="8200" width="2.25" style="568" bestFit="1" customWidth="1"/>
    <col min="8201" max="8201" width="4.375" style="568" bestFit="1" customWidth="1"/>
    <col min="8202" max="8202" width="8.375" style="568" bestFit="1" customWidth="1"/>
    <col min="8203" max="8205" width="11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5" width="7.625" style="568" bestFit="1" customWidth="1"/>
    <col min="8456" max="8456" width="2.25" style="568" bestFit="1" customWidth="1"/>
    <col min="8457" max="8457" width="4.375" style="568" bestFit="1" customWidth="1"/>
    <col min="8458" max="8458" width="8.375" style="568" bestFit="1" customWidth="1"/>
    <col min="8459" max="8461" width="11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1" width="7.625" style="568" bestFit="1" customWidth="1"/>
    <col min="8712" max="8712" width="2.25" style="568" bestFit="1" customWidth="1"/>
    <col min="8713" max="8713" width="4.375" style="568" bestFit="1" customWidth="1"/>
    <col min="8714" max="8714" width="8.375" style="568" bestFit="1" customWidth="1"/>
    <col min="8715" max="8717" width="11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7" width="7.625" style="568" bestFit="1" customWidth="1"/>
    <col min="8968" max="8968" width="2.25" style="568" bestFit="1" customWidth="1"/>
    <col min="8969" max="8969" width="4.375" style="568" bestFit="1" customWidth="1"/>
    <col min="8970" max="8970" width="8.375" style="568" bestFit="1" customWidth="1"/>
    <col min="8971" max="8973" width="11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3" width="7.625" style="568" bestFit="1" customWidth="1"/>
    <col min="9224" max="9224" width="2.25" style="568" bestFit="1" customWidth="1"/>
    <col min="9225" max="9225" width="4.375" style="568" bestFit="1" customWidth="1"/>
    <col min="9226" max="9226" width="8.375" style="568" bestFit="1" customWidth="1"/>
    <col min="9227" max="9229" width="11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79" width="7.625" style="568" bestFit="1" customWidth="1"/>
    <col min="9480" max="9480" width="2.25" style="568" bestFit="1" customWidth="1"/>
    <col min="9481" max="9481" width="4.375" style="568" bestFit="1" customWidth="1"/>
    <col min="9482" max="9482" width="8.375" style="568" bestFit="1" customWidth="1"/>
    <col min="9483" max="9485" width="11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5" width="7.625" style="568" bestFit="1" customWidth="1"/>
    <col min="9736" max="9736" width="2.25" style="568" bestFit="1" customWidth="1"/>
    <col min="9737" max="9737" width="4.375" style="568" bestFit="1" customWidth="1"/>
    <col min="9738" max="9738" width="8.375" style="568" bestFit="1" customWidth="1"/>
    <col min="9739" max="9741" width="11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1" width="7.625" style="568" bestFit="1" customWidth="1"/>
    <col min="9992" max="9992" width="2.25" style="568" bestFit="1" customWidth="1"/>
    <col min="9993" max="9993" width="4.375" style="568" bestFit="1" customWidth="1"/>
    <col min="9994" max="9994" width="8.375" style="568" bestFit="1" customWidth="1"/>
    <col min="9995" max="9997" width="11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7" width="7.625" style="568" bestFit="1" customWidth="1"/>
    <col min="10248" max="10248" width="2.25" style="568" bestFit="1" customWidth="1"/>
    <col min="10249" max="10249" width="4.375" style="568" bestFit="1" customWidth="1"/>
    <col min="10250" max="10250" width="8.375" style="568" bestFit="1" customWidth="1"/>
    <col min="10251" max="10253" width="11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3" width="7.625" style="568" bestFit="1" customWidth="1"/>
    <col min="10504" max="10504" width="2.25" style="568" bestFit="1" customWidth="1"/>
    <col min="10505" max="10505" width="4.375" style="568" bestFit="1" customWidth="1"/>
    <col min="10506" max="10506" width="8.375" style="568" bestFit="1" customWidth="1"/>
    <col min="10507" max="10509" width="11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59" width="7.625" style="568" bestFit="1" customWidth="1"/>
    <col min="10760" max="10760" width="2.25" style="568" bestFit="1" customWidth="1"/>
    <col min="10761" max="10761" width="4.375" style="568" bestFit="1" customWidth="1"/>
    <col min="10762" max="10762" width="8.375" style="568" bestFit="1" customWidth="1"/>
    <col min="10763" max="10765" width="11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5" width="7.625" style="568" bestFit="1" customWidth="1"/>
    <col min="11016" max="11016" width="2.25" style="568" bestFit="1" customWidth="1"/>
    <col min="11017" max="11017" width="4.375" style="568" bestFit="1" customWidth="1"/>
    <col min="11018" max="11018" width="8.375" style="568" bestFit="1" customWidth="1"/>
    <col min="11019" max="11021" width="11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1" width="7.625" style="568" bestFit="1" customWidth="1"/>
    <col min="11272" max="11272" width="2.25" style="568" bestFit="1" customWidth="1"/>
    <col min="11273" max="11273" width="4.375" style="568" bestFit="1" customWidth="1"/>
    <col min="11274" max="11274" width="8.375" style="568" bestFit="1" customWidth="1"/>
    <col min="11275" max="11277" width="11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7" width="7.625" style="568" bestFit="1" customWidth="1"/>
    <col min="11528" max="11528" width="2.25" style="568" bestFit="1" customWidth="1"/>
    <col min="11529" max="11529" width="4.375" style="568" bestFit="1" customWidth="1"/>
    <col min="11530" max="11530" width="8.375" style="568" bestFit="1" customWidth="1"/>
    <col min="11531" max="11533" width="11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3" width="7.625" style="568" bestFit="1" customWidth="1"/>
    <col min="11784" max="11784" width="2.25" style="568" bestFit="1" customWidth="1"/>
    <col min="11785" max="11785" width="4.375" style="568" bestFit="1" customWidth="1"/>
    <col min="11786" max="11786" width="8.375" style="568" bestFit="1" customWidth="1"/>
    <col min="11787" max="11789" width="11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39" width="7.625" style="568" bestFit="1" customWidth="1"/>
    <col min="12040" max="12040" width="2.25" style="568" bestFit="1" customWidth="1"/>
    <col min="12041" max="12041" width="4.375" style="568" bestFit="1" customWidth="1"/>
    <col min="12042" max="12042" width="8.375" style="568" bestFit="1" customWidth="1"/>
    <col min="12043" max="12045" width="11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5" width="7.625" style="568" bestFit="1" customWidth="1"/>
    <col min="12296" max="12296" width="2.25" style="568" bestFit="1" customWidth="1"/>
    <col min="12297" max="12297" width="4.375" style="568" bestFit="1" customWidth="1"/>
    <col min="12298" max="12298" width="8.375" style="568" bestFit="1" customWidth="1"/>
    <col min="12299" max="12301" width="11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1" width="7.625" style="568" bestFit="1" customWidth="1"/>
    <col min="12552" max="12552" width="2.25" style="568" bestFit="1" customWidth="1"/>
    <col min="12553" max="12553" width="4.375" style="568" bestFit="1" customWidth="1"/>
    <col min="12554" max="12554" width="8.375" style="568" bestFit="1" customWidth="1"/>
    <col min="12555" max="12557" width="11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7" width="7.625" style="568" bestFit="1" customWidth="1"/>
    <col min="12808" max="12808" width="2.25" style="568" bestFit="1" customWidth="1"/>
    <col min="12809" max="12809" width="4.375" style="568" bestFit="1" customWidth="1"/>
    <col min="12810" max="12810" width="8.375" style="568" bestFit="1" customWidth="1"/>
    <col min="12811" max="12813" width="11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3" width="7.625" style="568" bestFit="1" customWidth="1"/>
    <col min="13064" max="13064" width="2.25" style="568" bestFit="1" customWidth="1"/>
    <col min="13065" max="13065" width="4.375" style="568" bestFit="1" customWidth="1"/>
    <col min="13066" max="13066" width="8.375" style="568" bestFit="1" customWidth="1"/>
    <col min="13067" max="13069" width="11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19" width="7.625" style="568" bestFit="1" customWidth="1"/>
    <col min="13320" max="13320" width="2.25" style="568" bestFit="1" customWidth="1"/>
    <col min="13321" max="13321" width="4.375" style="568" bestFit="1" customWidth="1"/>
    <col min="13322" max="13322" width="8.375" style="568" bestFit="1" customWidth="1"/>
    <col min="13323" max="13325" width="11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5" width="7.625" style="568" bestFit="1" customWidth="1"/>
    <col min="13576" max="13576" width="2.25" style="568" bestFit="1" customWidth="1"/>
    <col min="13577" max="13577" width="4.375" style="568" bestFit="1" customWidth="1"/>
    <col min="13578" max="13578" width="8.375" style="568" bestFit="1" customWidth="1"/>
    <col min="13579" max="13581" width="11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1" width="7.625" style="568" bestFit="1" customWidth="1"/>
    <col min="13832" max="13832" width="2.25" style="568" bestFit="1" customWidth="1"/>
    <col min="13833" max="13833" width="4.375" style="568" bestFit="1" customWidth="1"/>
    <col min="13834" max="13834" width="8.375" style="568" bestFit="1" customWidth="1"/>
    <col min="13835" max="13837" width="11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7" width="7.625" style="568" bestFit="1" customWidth="1"/>
    <col min="14088" max="14088" width="2.25" style="568" bestFit="1" customWidth="1"/>
    <col min="14089" max="14089" width="4.375" style="568" bestFit="1" customWidth="1"/>
    <col min="14090" max="14090" width="8.375" style="568" bestFit="1" customWidth="1"/>
    <col min="14091" max="14093" width="11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3" width="7.625" style="568" bestFit="1" customWidth="1"/>
    <col min="14344" max="14344" width="2.25" style="568" bestFit="1" customWidth="1"/>
    <col min="14345" max="14345" width="4.375" style="568" bestFit="1" customWidth="1"/>
    <col min="14346" max="14346" width="8.375" style="568" bestFit="1" customWidth="1"/>
    <col min="14347" max="14349" width="11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599" width="7.625" style="568" bestFit="1" customWidth="1"/>
    <col min="14600" max="14600" width="2.25" style="568" bestFit="1" customWidth="1"/>
    <col min="14601" max="14601" width="4.375" style="568" bestFit="1" customWidth="1"/>
    <col min="14602" max="14602" width="8.375" style="568" bestFit="1" customWidth="1"/>
    <col min="14603" max="14605" width="11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5" width="7.625" style="568" bestFit="1" customWidth="1"/>
    <col min="14856" max="14856" width="2.25" style="568" bestFit="1" customWidth="1"/>
    <col min="14857" max="14857" width="4.375" style="568" bestFit="1" customWidth="1"/>
    <col min="14858" max="14858" width="8.375" style="568" bestFit="1" customWidth="1"/>
    <col min="14859" max="14861" width="11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1" width="7.625" style="568" bestFit="1" customWidth="1"/>
    <col min="15112" max="15112" width="2.25" style="568" bestFit="1" customWidth="1"/>
    <col min="15113" max="15113" width="4.375" style="568" bestFit="1" customWidth="1"/>
    <col min="15114" max="15114" width="8.375" style="568" bestFit="1" customWidth="1"/>
    <col min="15115" max="15117" width="11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7" width="7.625" style="568" bestFit="1" customWidth="1"/>
    <col min="15368" max="15368" width="2.25" style="568" bestFit="1" customWidth="1"/>
    <col min="15369" max="15369" width="4.375" style="568" bestFit="1" customWidth="1"/>
    <col min="15370" max="15370" width="8.375" style="568" bestFit="1" customWidth="1"/>
    <col min="15371" max="15373" width="11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3" width="7.625" style="568" bestFit="1" customWidth="1"/>
    <col min="15624" max="15624" width="2.25" style="568" bestFit="1" customWidth="1"/>
    <col min="15625" max="15625" width="4.375" style="568" bestFit="1" customWidth="1"/>
    <col min="15626" max="15626" width="8.375" style="568" bestFit="1" customWidth="1"/>
    <col min="15627" max="15629" width="11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79" width="7.625" style="568" bestFit="1" customWidth="1"/>
    <col min="15880" max="15880" width="2.25" style="568" bestFit="1" customWidth="1"/>
    <col min="15881" max="15881" width="4.375" style="568" bestFit="1" customWidth="1"/>
    <col min="15882" max="15882" width="8.375" style="568" bestFit="1" customWidth="1"/>
    <col min="15883" max="15885" width="11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5" width="7.625" style="568" bestFit="1" customWidth="1"/>
    <col min="16136" max="16136" width="2.25" style="568" bestFit="1" customWidth="1"/>
    <col min="16137" max="16137" width="4.375" style="568" bestFit="1" customWidth="1"/>
    <col min="16138" max="16138" width="8.375" style="568" bestFit="1" customWidth="1"/>
    <col min="16139" max="16141" width="11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792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39</v>
      </c>
      <c r="J9" s="567" t="s">
        <v>327</v>
      </c>
      <c r="K9" s="567" t="s">
        <v>329</v>
      </c>
      <c r="L9" s="567" t="s">
        <v>330</v>
      </c>
      <c r="M9" s="567" t="s">
        <v>331</v>
      </c>
      <c r="N9" s="567" t="s">
        <v>1011</v>
      </c>
      <c r="O9" s="567" t="s">
        <v>1012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1.7951388888888888E-2</v>
      </c>
      <c r="E10" s="567">
        <v>12408</v>
      </c>
      <c r="F10" s="567" t="s">
        <v>1001</v>
      </c>
      <c r="G10" s="567" t="s">
        <v>326</v>
      </c>
      <c r="H10" s="567">
        <v>0</v>
      </c>
      <c r="I10" s="567">
        <v>39</v>
      </c>
      <c r="J10" s="567" t="s">
        <v>327</v>
      </c>
      <c r="K10" s="567" t="s">
        <v>329</v>
      </c>
      <c r="L10" s="567" t="s">
        <v>330</v>
      </c>
      <c r="M10" s="567" t="s">
        <v>331</v>
      </c>
      <c r="N10" s="567" t="s">
        <v>1011</v>
      </c>
      <c r="O10" s="567" t="s">
        <v>1012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1.909722222222222E-2</v>
      </c>
      <c r="E11" s="567">
        <v>792</v>
      </c>
      <c r="F11" s="567" t="s">
        <v>1001</v>
      </c>
      <c r="G11" s="567" t="s">
        <v>326</v>
      </c>
      <c r="H11" s="567">
        <v>0</v>
      </c>
      <c r="I11" s="567">
        <v>97</v>
      </c>
      <c r="J11" s="567" t="s">
        <v>327</v>
      </c>
      <c r="K11" s="567" t="s">
        <v>1002</v>
      </c>
      <c r="L11" s="567" t="s">
        <v>1003</v>
      </c>
      <c r="M11" s="567" t="s">
        <v>1004</v>
      </c>
      <c r="N11" s="567" t="s">
        <v>1011</v>
      </c>
      <c r="O11" s="567" t="s">
        <v>1012</v>
      </c>
      <c r="P11" s="567" t="s">
        <v>1007</v>
      </c>
      <c r="Q11" s="567" t="s">
        <v>1008</v>
      </c>
      <c r="R11" s="567">
        <v>80</v>
      </c>
    </row>
    <row r="12" spans="1:18" ht="15" x14ac:dyDescent="0.2">
      <c r="A12" s="567"/>
      <c r="B12" s="567"/>
      <c r="C12" s="567"/>
      <c r="D12" s="569">
        <v>7.784722222222222E-2</v>
      </c>
      <c r="E12" s="567">
        <v>40608</v>
      </c>
      <c r="F12" s="567" t="s">
        <v>1001</v>
      </c>
      <c r="G12" s="567" t="s">
        <v>326</v>
      </c>
      <c r="H12" s="567">
        <v>0</v>
      </c>
      <c r="I12" s="567">
        <v>97</v>
      </c>
      <c r="J12" s="567" t="s">
        <v>327</v>
      </c>
      <c r="K12" s="567" t="s">
        <v>1002</v>
      </c>
      <c r="L12" s="567" t="s">
        <v>1003</v>
      </c>
      <c r="M12" s="567" t="s">
        <v>1004</v>
      </c>
      <c r="N12" s="567" t="s">
        <v>1011</v>
      </c>
      <c r="O12" s="567" t="s">
        <v>1012</v>
      </c>
      <c r="P12" s="567" t="s">
        <v>1009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8.1597222222222224E-2</v>
      </c>
      <c r="E13" s="567">
        <v>2592</v>
      </c>
      <c r="F13" s="567" t="s">
        <v>1001</v>
      </c>
      <c r="G13" s="567" t="s">
        <v>326</v>
      </c>
      <c r="H13" s="567">
        <v>0</v>
      </c>
      <c r="I13" s="567">
        <v>401</v>
      </c>
      <c r="J13" s="567" t="s">
        <v>327</v>
      </c>
      <c r="K13" s="567" t="s">
        <v>1002</v>
      </c>
      <c r="L13" s="567" t="s">
        <v>1003</v>
      </c>
      <c r="M13" s="567" t="s">
        <v>1004</v>
      </c>
      <c r="N13" s="567" t="s">
        <v>1011</v>
      </c>
      <c r="O13" s="567" t="s">
        <v>1012</v>
      </c>
      <c r="P13" s="567" t="s">
        <v>1007</v>
      </c>
      <c r="Q13" s="567" t="s">
        <v>1008</v>
      </c>
      <c r="R13" s="567">
        <v>80</v>
      </c>
    </row>
    <row r="14" spans="1:18" ht="15" x14ac:dyDescent="0.2">
      <c r="A14" s="567"/>
      <c r="B14" s="567"/>
      <c r="C14" s="567"/>
      <c r="D14" s="569">
        <v>0.17951388888888889</v>
      </c>
      <c r="E14" s="567">
        <v>67680</v>
      </c>
      <c r="F14" s="567" t="s">
        <v>1001</v>
      </c>
      <c r="G14" s="567" t="s">
        <v>326</v>
      </c>
      <c r="H14" s="567">
        <v>0</v>
      </c>
      <c r="I14" s="567">
        <v>401</v>
      </c>
      <c r="J14" s="567" t="s">
        <v>327</v>
      </c>
      <c r="K14" s="567" t="s">
        <v>1002</v>
      </c>
      <c r="L14" s="567" t="s">
        <v>1003</v>
      </c>
      <c r="M14" s="567" t="s">
        <v>1004</v>
      </c>
      <c r="N14" s="567" t="s">
        <v>1011</v>
      </c>
      <c r="O14" s="567" t="s">
        <v>1012</v>
      </c>
      <c r="P14" s="567" t="s">
        <v>1009</v>
      </c>
      <c r="Q14" s="567" t="s">
        <v>1008</v>
      </c>
      <c r="R14" s="567">
        <v>80</v>
      </c>
    </row>
    <row r="15" spans="1:18" ht="15" x14ac:dyDescent="0.2">
      <c r="A15" s="567"/>
      <c r="B15" s="567"/>
      <c r="C15" s="567"/>
      <c r="D15" s="569">
        <v>0.18576388888888887</v>
      </c>
      <c r="E15" s="567">
        <v>4320</v>
      </c>
      <c r="F15" s="567" t="s">
        <v>1001</v>
      </c>
      <c r="G15" s="567" t="s">
        <v>326</v>
      </c>
      <c r="H15" s="567">
        <v>0</v>
      </c>
      <c r="I15" s="567">
        <v>401</v>
      </c>
      <c r="J15" s="567" t="s">
        <v>327</v>
      </c>
      <c r="K15" s="567" t="s">
        <v>329</v>
      </c>
      <c r="L15" s="567" t="s">
        <v>330</v>
      </c>
      <c r="M15" s="567" t="s">
        <v>331</v>
      </c>
      <c r="N15" s="567" t="s">
        <v>1005</v>
      </c>
      <c r="O15" s="567" t="s">
        <v>1006</v>
      </c>
      <c r="P15" s="567" t="s">
        <v>1007</v>
      </c>
      <c r="Q15" s="567" t="s">
        <v>1008</v>
      </c>
      <c r="R15" s="567">
        <v>80</v>
      </c>
    </row>
    <row r="16" spans="1:18" ht="15" x14ac:dyDescent="0.2">
      <c r="A16" s="567"/>
      <c r="B16" s="567"/>
      <c r="C16" s="567"/>
      <c r="D16" s="569">
        <v>0.32383101851851853</v>
      </c>
      <c r="E16" s="567">
        <v>95432</v>
      </c>
      <c r="F16" s="567" t="s">
        <v>1001</v>
      </c>
      <c r="G16" s="567" t="s">
        <v>326</v>
      </c>
      <c r="H16" s="567">
        <v>0</v>
      </c>
      <c r="I16" s="567">
        <v>401</v>
      </c>
      <c r="J16" s="567" t="s">
        <v>327</v>
      </c>
      <c r="K16" s="567" t="s">
        <v>329</v>
      </c>
      <c r="L16" s="567" t="s">
        <v>330</v>
      </c>
      <c r="M16" s="567" t="s">
        <v>331</v>
      </c>
      <c r="N16" s="567" t="s">
        <v>1005</v>
      </c>
      <c r="O16" s="567" t="s">
        <v>1006</v>
      </c>
      <c r="P16" s="567" t="s">
        <v>1009</v>
      </c>
      <c r="Q16" s="567" t="s">
        <v>1008</v>
      </c>
      <c r="R16" s="567">
        <v>80</v>
      </c>
    </row>
    <row r="17" spans="1:6" ht="15" x14ac:dyDescent="0.2">
      <c r="A17" s="567"/>
      <c r="B17" s="567"/>
      <c r="C17" s="567"/>
      <c r="D17" s="569">
        <v>0.32383101851851853</v>
      </c>
      <c r="E17" s="567">
        <v>0</v>
      </c>
      <c r="F17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7" width="7.625" style="568" bestFit="1" customWidth="1"/>
    <col min="8" max="8" width="2.25" style="568" bestFit="1" customWidth="1"/>
    <col min="9" max="9" width="4.375" style="568" bestFit="1" customWidth="1"/>
    <col min="10" max="10" width="8.375" style="568" bestFit="1" customWidth="1"/>
    <col min="11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3" width="7.625" style="568" bestFit="1" customWidth="1"/>
    <col min="264" max="264" width="2.25" style="568" bestFit="1" customWidth="1"/>
    <col min="265" max="265" width="4.375" style="568" bestFit="1" customWidth="1"/>
    <col min="266" max="266" width="8.375" style="568" bestFit="1" customWidth="1"/>
    <col min="267" max="269" width="8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19" width="7.625" style="568" bestFit="1" customWidth="1"/>
    <col min="520" max="520" width="2.25" style="568" bestFit="1" customWidth="1"/>
    <col min="521" max="521" width="4.375" style="568" bestFit="1" customWidth="1"/>
    <col min="522" max="522" width="8.375" style="568" bestFit="1" customWidth="1"/>
    <col min="523" max="525" width="8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5" width="7.625" style="568" bestFit="1" customWidth="1"/>
    <col min="776" max="776" width="2.25" style="568" bestFit="1" customWidth="1"/>
    <col min="777" max="777" width="4.375" style="568" bestFit="1" customWidth="1"/>
    <col min="778" max="778" width="8.375" style="568" bestFit="1" customWidth="1"/>
    <col min="779" max="781" width="8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1" width="7.625" style="568" bestFit="1" customWidth="1"/>
    <col min="1032" max="1032" width="2.25" style="568" bestFit="1" customWidth="1"/>
    <col min="1033" max="1033" width="4.375" style="568" bestFit="1" customWidth="1"/>
    <col min="1034" max="1034" width="8.375" style="568" bestFit="1" customWidth="1"/>
    <col min="1035" max="1037" width="8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7" width="7.625" style="568" bestFit="1" customWidth="1"/>
    <col min="1288" max="1288" width="2.25" style="568" bestFit="1" customWidth="1"/>
    <col min="1289" max="1289" width="4.375" style="568" bestFit="1" customWidth="1"/>
    <col min="1290" max="1290" width="8.375" style="568" bestFit="1" customWidth="1"/>
    <col min="1291" max="1293" width="8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3" width="7.625" style="568" bestFit="1" customWidth="1"/>
    <col min="1544" max="1544" width="2.25" style="568" bestFit="1" customWidth="1"/>
    <col min="1545" max="1545" width="4.375" style="568" bestFit="1" customWidth="1"/>
    <col min="1546" max="1546" width="8.375" style="568" bestFit="1" customWidth="1"/>
    <col min="1547" max="1549" width="8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799" width="7.625" style="568" bestFit="1" customWidth="1"/>
    <col min="1800" max="1800" width="2.25" style="568" bestFit="1" customWidth="1"/>
    <col min="1801" max="1801" width="4.375" style="568" bestFit="1" customWidth="1"/>
    <col min="1802" max="1802" width="8.375" style="568" bestFit="1" customWidth="1"/>
    <col min="1803" max="1805" width="8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5" width="7.625" style="568" bestFit="1" customWidth="1"/>
    <col min="2056" max="2056" width="2.25" style="568" bestFit="1" customWidth="1"/>
    <col min="2057" max="2057" width="4.375" style="568" bestFit="1" customWidth="1"/>
    <col min="2058" max="2058" width="8.375" style="568" bestFit="1" customWidth="1"/>
    <col min="2059" max="2061" width="8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1" width="7.625" style="568" bestFit="1" customWidth="1"/>
    <col min="2312" max="2312" width="2.25" style="568" bestFit="1" customWidth="1"/>
    <col min="2313" max="2313" width="4.375" style="568" bestFit="1" customWidth="1"/>
    <col min="2314" max="2314" width="8.375" style="568" bestFit="1" customWidth="1"/>
    <col min="2315" max="2317" width="8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7" width="7.625" style="568" bestFit="1" customWidth="1"/>
    <col min="2568" max="2568" width="2.25" style="568" bestFit="1" customWidth="1"/>
    <col min="2569" max="2569" width="4.375" style="568" bestFit="1" customWidth="1"/>
    <col min="2570" max="2570" width="8.375" style="568" bestFit="1" customWidth="1"/>
    <col min="2571" max="2573" width="8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3" width="7.625" style="568" bestFit="1" customWidth="1"/>
    <col min="2824" max="2824" width="2.25" style="568" bestFit="1" customWidth="1"/>
    <col min="2825" max="2825" width="4.375" style="568" bestFit="1" customWidth="1"/>
    <col min="2826" max="2826" width="8.375" style="568" bestFit="1" customWidth="1"/>
    <col min="2827" max="2829" width="8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79" width="7.625" style="568" bestFit="1" customWidth="1"/>
    <col min="3080" max="3080" width="2.25" style="568" bestFit="1" customWidth="1"/>
    <col min="3081" max="3081" width="4.375" style="568" bestFit="1" customWidth="1"/>
    <col min="3082" max="3082" width="8.375" style="568" bestFit="1" customWidth="1"/>
    <col min="3083" max="3085" width="8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5" width="7.625" style="568" bestFit="1" customWidth="1"/>
    <col min="3336" max="3336" width="2.25" style="568" bestFit="1" customWidth="1"/>
    <col min="3337" max="3337" width="4.375" style="568" bestFit="1" customWidth="1"/>
    <col min="3338" max="3338" width="8.375" style="568" bestFit="1" customWidth="1"/>
    <col min="3339" max="3341" width="8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1" width="7.625" style="568" bestFit="1" customWidth="1"/>
    <col min="3592" max="3592" width="2.25" style="568" bestFit="1" customWidth="1"/>
    <col min="3593" max="3593" width="4.375" style="568" bestFit="1" customWidth="1"/>
    <col min="3594" max="3594" width="8.375" style="568" bestFit="1" customWidth="1"/>
    <col min="3595" max="3597" width="8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7" width="7.625" style="568" bestFit="1" customWidth="1"/>
    <col min="3848" max="3848" width="2.25" style="568" bestFit="1" customWidth="1"/>
    <col min="3849" max="3849" width="4.375" style="568" bestFit="1" customWidth="1"/>
    <col min="3850" max="3850" width="8.375" style="568" bestFit="1" customWidth="1"/>
    <col min="3851" max="3853" width="8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3" width="7.625" style="568" bestFit="1" customWidth="1"/>
    <col min="4104" max="4104" width="2.25" style="568" bestFit="1" customWidth="1"/>
    <col min="4105" max="4105" width="4.375" style="568" bestFit="1" customWidth="1"/>
    <col min="4106" max="4106" width="8.375" style="568" bestFit="1" customWidth="1"/>
    <col min="4107" max="4109" width="8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59" width="7.625" style="568" bestFit="1" customWidth="1"/>
    <col min="4360" max="4360" width="2.25" style="568" bestFit="1" customWidth="1"/>
    <col min="4361" max="4361" width="4.375" style="568" bestFit="1" customWidth="1"/>
    <col min="4362" max="4362" width="8.375" style="568" bestFit="1" customWidth="1"/>
    <col min="4363" max="4365" width="8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5" width="7.625" style="568" bestFit="1" customWidth="1"/>
    <col min="4616" max="4616" width="2.25" style="568" bestFit="1" customWidth="1"/>
    <col min="4617" max="4617" width="4.375" style="568" bestFit="1" customWidth="1"/>
    <col min="4618" max="4618" width="8.375" style="568" bestFit="1" customWidth="1"/>
    <col min="4619" max="4621" width="8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1" width="7.625" style="568" bestFit="1" customWidth="1"/>
    <col min="4872" max="4872" width="2.25" style="568" bestFit="1" customWidth="1"/>
    <col min="4873" max="4873" width="4.375" style="568" bestFit="1" customWidth="1"/>
    <col min="4874" max="4874" width="8.375" style="568" bestFit="1" customWidth="1"/>
    <col min="4875" max="4877" width="8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7" width="7.625" style="568" bestFit="1" customWidth="1"/>
    <col min="5128" max="5128" width="2.25" style="568" bestFit="1" customWidth="1"/>
    <col min="5129" max="5129" width="4.375" style="568" bestFit="1" customWidth="1"/>
    <col min="5130" max="5130" width="8.375" style="568" bestFit="1" customWidth="1"/>
    <col min="5131" max="5133" width="8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3" width="7.625" style="568" bestFit="1" customWidth="1"/>
    <col min="5384" max="5384" width="2.25" style="568" bestFit="1" customWidth="1"/>
    <col min="5385" max="5385" width="4.375" style="568" bestFit="1" customWidth="1"/>
    <col min="5386" max="5386" width="8.375" style="568" bestFit="1" customWidth="1"/>
    <col min="5387" max="5389" width="8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39" width="7.625" style="568" bestFit="1" customWidth="1"/>
    <col min="5640" max="5640" width="2.25" style="568" bestFit="1" customWidth="1"/>
    <col min="5641" max="5641" width="4.375" style="568" bestFit="1" customWidth="1"/>
    <col min="5642" max="5642" width="8.375" style="568" bestFit="1" customWidth="1"/>
    <col min="5643" max="5645" width="8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5" width="7.625" style="568" bestFit="1" customWidth="1"/>
    <col min="5896" max="5896" width="2.25" style="568" bestFit="1" customWidth="1"/>
    <col min="5897" max="5897" width="4.375" style="568" bestFit="1" customWidth="1"/>
    <col min="5898" max="5898" width="8.375" style="568" bestFit="1" customWidth="1"/>
    <col min="5899" max="5901" width="8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1" width="7.625" style="568" bestFit="1" customWidth="1"/>
    <col min="6152" max="6152" width="2.25" style="568" bestFit="1" customWidth="1"/>
    <col min="6153" max="6153" width="4.375" style="568" bestFit="1" customWidth="1"/>
    <col min="6154" max="6154" width="8.375" style="568" bestFit="1" customWidth="1"/>
    <col min="6155" max="6157" width="8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7" width="7.625" style="568" bestFit="1" customWidth="1"/>
    <col min="6408" max="6408" width="2.25" style="568" bestFit="1" customWidth="1"/>
    <col min="6409" max="6409" width="4.375" style="568" bestFit="1" customWidth="1"/>
    <col min="6410" max="6410" width="8.375" style="568" bestFit="1" customWidth="1"/>
    <col min="6411" max="6413" width="8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3" width="7.625" style="568" bestFit="1" customWidth="1"/>
    <col min="6664" max="6664" width="2.25" style="568" bestFit="1" customWidth="1"/>
    <col min="6665" max="6665" width="4.375" style="568" bestFit="1" customWidth="1"/>
    <col min="6666" max="6666" width="8.375" style="568" bestFit="1" customWidth="1"/>
    <col min="6667" max="6669" width="8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19" width="7.625" style="568" bestFit="1" customWidth="1"/>
    <col min="6920" max="6920" width="2.25" style="568" bestFit="1" customWidth="1"/>
    <col min="6921" max="6921" width="4.375" style="568" bestFit="1" customWidth="1"/>
    <col min="6922" max="6922" width="8.375" style="568" bestFit="1" customWidth="1"/>
    <col min="6923" max="6925" width="8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5" width="7.625" style="568" bestFit="1" customWidth="1"/>
    <col min="7176" max="7176" width="2.25" style="568" bestFit="1" customWidth="1"/>
    <col min="7177" max="7177" width="4.375" style="568" bestFit="1" customWidth="1"/>
    <col min="7178" max="7178" width="8.375" style="568" bestFit="1" customWidth="1"/>
    <col min="7179" max="7181" width="8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1" width="7.625" style="568" bestFit="1" customWidth="1"/>
    <col min="7432" max="7432" width="2.25" style="568" bestFit="1" customWidth="1"/>
    <col min="7433" max="7433" width="4.375" style="568" bestFit="1" customWidth="1"/>
    <col min="7434" max="7434" width="8.375" style="568" bestFit="1" customWidth="1"/>
    <col min="7435" max="7437" width="8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7" width="7.625" style="568" bestFit="1" customWidth="1"/>
    <col min="7688" max="7688" width="2.25" style="568" bestFit="1" customWidth="1"/>
    <col min="7689" max="7689" width="4.375" style="568" bestFit="1" customWidth="1"/>
    <col min="7690" max="7690" width="8.375" style="568" bestFit="1" customWidth="1"/>
    <col min="7691" max="7693" width="8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3" width="7.625" style="568" bestFit="1" customWidth="1"/>
    <col min="7944" max="7944" width="2.25" style="568" bestFit="1" customWidth="1"/>
    <col min="7945" max="7945" width="4.375" style="568" bestFit="1" customWidth="1"/>
    <col min="7946" max="7946" width="8.375" style="568" bestFit="1" customWidth="1"/>
    <col min="7947" max="7949" width="8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199" width="7.625" style="568" bestFit="1" customWidth="1"/>
    <col min="8200" max="8200" width="2.25" style="568" bestFit="1" customWidth="1"/>
    <col min="8201" max="8201" width="4.375" style="568" bestFit="1" customWidth="1"/>
    <col min="8202" max="8202" width="8.375" style="568" bestFit="1" customWidth="1"/>
    <col min="8203" max="8205" width="8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5" width="7.625" style="568" bestFit="1" customWidth="1"/>
    <col min="8456" max="8456" width="2.25" style="568" bestFit="1" customWidth="1"/>
    <col min="8457" max="8457" width="4.375" style="568" bestFit="1" customWidth="1"/>
    <col min="8458" max="8458" width="8.375" style="568" bestFit="1" customWidth="1"/>
    <col min="8459" max="8461" width="8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1" width="7.625" style="568" bestFit="1" customWidth="1"/>
    <col min="8712" max="8712" width="2.25" style="568" bestFit="1" customWidth="1"/>
    <col min="8713" max="8713" width="4.375" style="568" bestFit="1" customWidth="1"/>
    <col min="8714" max="8714" width="8.375" style="568" bestFit="1" customWidth="1"/>
    <col min="8715" max="8717" width="8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7" width="7.625" style="568" bestFit="1" customWidth="1"/>
    <col min="8968" max="8968" width="2.25" style="568" bestFit="1" customWidth="1"/>
    <col min="8969" max="8969" width="4.375" style="568" bestFit="1" customWidth="1"/>
    <col min="8970" max="8970" width="8.375" style="568" bestFit="1" customWidth="1"/>
    <col min="8971" max="8973" width="8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3" width="7.625" style="568" bestFit="1" customWidth="1"/>
    <col min="9224" max="9224" width="2.25" style="568" bestFit="1" customWidth="1"/>
    <col min="9225" max="9225" width="4.375" style="568" bestFit="1" customWidth="1"/>
    <col min="9226" max="9226" width="8.375" style="568" bestFit="1" customWidth="1"/>
    <col min="9227" max="9229" width="8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79" width="7.625" style="568" bestFit="1" customWidth="1"/>
    <col min="9480" max="9480" width="2.25" style="568" bestFit="1" customWidth="1"/>
    <col min="9481" max="9481" width="4.375" style="568" bestFit="1" customWidth="1"/>
    <col min="9482" max="9482" width="8.375" style="568" bestFit="1" customWidth="1"/>
    <col min="9483" max="9485" width="8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5" width="7.625" style="568" bestFit="1" customWidth="1"/>
    <col min="9736" max="9736" width="2.25" style="568" bestFit="1" customWidth="1"/>
    <col min="9737" max="9737" width="4.375" style="568" bestFit="1" customWidth="1"/>
    <col min="9738" max="9738" width="8.375" style="568" bestFit="1" customWidth="1"/>
    <col min="9739" max="9741" width="8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1" width="7.625" style="568" bestFit="1" customWidth="1"/>
    <col min="9992" max="9992" width="2.25" style="568" bestFit="1" customWidth="1"/>
    <col min="9993" max="9993" width="4.375" style="568" bestFit="1" customWidth="1"/>
    <col min="9994" max="9994" width="8.375" style="568" bestFit="1" customWidth="1"/>
    <col min="9995" max="9997" width="8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7" width="7.625" style="568" bestFit="1" customWidth="1"/>
    <col min="10248" max="10248" width="2.25" style="568" bestFit="1" customWidth="1"/>
    <col min="10249" max="10249" width="4.375" style="568" bestFit="1" customWidth="1"/>
    <col min="10250" max="10250" width="8.375" style="568" bestFit="1" customWidth="1"/>
    <col min="10251" max="10253" width="8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3" width="7.625" style="568" bestFit="1" customWidth="1"/>
    <col min="10504" max="10504" width="2.25" style="568" bestFit="1" customWidth="1"/>
    <col min="10505" max="10505" width="4.375" style="568" bestFit="1" customWidth="1"/>
    <col min="10506" max="10506" width="8.375" style="568" bestFit="1" customWidth="1"/>
    <col min="10507" max="10509" width="8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59" width="7.625" style="568" bestFit="1" customWidth="1"/>
    <col min="10760" max="10760" width="2.25" style="568" bestFit="1" customWidth="1"/>
    <col min="10761" max="10761" width="4.375" style="568" bestFit="1" customWidth="1"/>
    <col min="10762" max="10762" width="8.375" style="568" bestFit="1" customWidth="1"/>
    <col min="10763" max="10765" width="8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5" width="7.625" style="568" bestFit="1" customWidth="1"/>
    <col min="11016" max="11016" width="2.25" style="568" bestFit="1" customWidth="1"/>
    <col min="11017" max="11017" width="4.375" style="568" bestFit="1" customWidth="1"/>
    <col min="11018" max="11018" width="8.375" style="568" bestFit="1" customWidth="1"/>
    <col min="11019" max="11021" width="8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1" width="7.625" style="568" bestFit="1" customWidth="1"/>
    <col min="11272" max="11272" width="2.25" style="568" bestFit="1" customWidth="1"/>
    <col min="11273" max="11273" width="4.375" style="568" bestFit="1" customWidth="1"/>
    <col min="11274" max="11274" width="8.375" style="568" bestFit="1" customWidth="1"/>
    <col min="11275" max="11277" width="8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7" width="7.625" style="568" bestFit="1" customWidth="1"/>
    <col min="11528" max="11528" width="2.25" style="568" bestFit="1" customWidth="1"/>
    <col min="11529" max="11529" width="4.375" style="568" bestFit="1" customWidth="1"/>
    <col min="11530" max="11530" width="8.375" style="568" bestFit="1" customWidth="1"/>
    <col min="11531" max="11533" width="8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3" width="7.625" style="568" bestFit="1" customWidth="1"/>
    <col min="11784" max="11784" width="2.25" style="568" bestFit="1" customWidth="1"/>
    <col min="11785" max="11785" width="4.375" style="568" bestFit="1" customWidth="1"/>
    <col min="11786" max="11786" width="8.375" style="568" bestFit="1" customWidth="1"/>
    <col min="11787" max="11789" width="8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39" width="7.625" style="568" bestFit="1" customWidth="1"/>
    <col min="12040" max="12040" width="2.25" style="568" bestFit="1" customWidth="1"/>
    <col min="12041" max="12041" width="4.375" style="568" bestFit="1" customWidth="1"/>
    <col min="12042" max="12042" width="8.375" style="568" bestFit="1" customWidth="1"/>
    <col min="12043" max="12045" width="8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5" width="7.625" style="568" bestFit="1" customWidth="1"/>
    <col min="12296" max="12296" width="2.25" style="568" bestFit="1" customWidth="1"/>
    <col min="12297" max="12297" width="4.375" style="568" bestFit="1" customWidth="1"/>
    <col min="12298" max="12298" width="8.375" style="568" bestFit="1" customWidth="1"/>
    <col min="12299" max="12301" width="8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1" width="7.625" style="568" bestFit="1" customWidth="1"/>
    <col min="12552" max="12552" width="2.25" style="568" bestFit="1" customWidth="1"/>
    <col min="12553" max="12553" width="4.375" style="568" bestFit="1" customWidth="1"/>
    <col min="12554" max="12554" width="8.375" style="568" bestFit="1" customWidth="1"/>
    <col min="12555" max="12557" width="8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7" width="7.625" style="568" bestFit="1" customWidth="1"/>
    <col min="12808" max="12808" width="2.25" style="568" bestFit="1" customWidth="1"/>
    <col min="12809" max="12809" width="4.375" style="568" bestFit="1" customWidth="1"/>
    <col min="12810" max="12810" width="8.375" style="568" bestFit="1" customWidth="1"/>
    <col min="12811" max="12813" width="8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3" width="7.625" style="568" bestFit="1" customWidth="1"/>
    <col min="13064" max="13064" width="2.25" style="568" bestFit="1" customWidth="1"/>
    <col min="13065" max="13065" width="4.375" style="568" bestFit="1" customWidth="1"/>
    <col min="13066" max="13066" width="8.375" style="568" bestFit="1" customWidth="1"/>
    <col min="13067" max="13069" width="8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19" width="7.625" style="568" bestFit="1" customWidth="1"/>
    <col min="13320" max="13320" width="2.25" style="568" bestFit="1" customWidth="1"/>
    <col min="13321" max="13321" width="4.375" style="568" bestFit="1" customWidth="1"/>
    <col min="13322" max="13322" width="8.375" style="568" bestFit="1" customWidth="1"/>
    <col min="13323" max="13325" width="8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5" width="7.625" style="568" bestFit="1" customWidth="1"/>
    <col min="13576" max="13576" width="2.25" style="568" bestFit="1" customWidth="1"/>
    <col min="13577" max="13577" width="4.375" style="568" bestFit="1" customWidth="1"/>
    <col min="13578" max="13578" width="8.375" style="568" bestFit="1" customWidth="1"/>
    <col min="13579" max="13581" width="8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1" width="7.625" style="568" bestFit="1" customWidth="1"/>
    <col min="13832" max="13832" width="2.25" style="568" bestFit="1" customWidth="1"/>
    <col min="13833" max="13833" width="4.375" style="568" bestFit="1" customWidth="1"/>
    <col min="13834" max="13834" width="8.375" style="568" bestFit="1" customWidth="1"/>
    <col min="13835" max="13837" width="8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7" width="7.625" style="568" bestFit="1" customWidth="1"/>
    <col min="14088" max="14088" width="2.25" style="568" bestFit="1" customWidth="1"/>
    <col min="14089" max="14089" width="4.375" style="568" bestFit="1" customWidth="1"/>
    <col min="14090" max="14090" width="8.375" style="568" bestFit="1" customWidth="1"/>
    <col min="14091" max="14093" width="8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3" width="7.625" style="568" bestFit="1" customWidth="1"/>
    <col min="14344" max="14344" width="2.25" style="568" bestFit="1" customWidth="1"/>
    <col min="14345" max="14345" width="4.375" style="568" bestFit="1" customWidth="1"/>
    <col min="14346" max="14346" width="8.375" style="568" bestFit="1" customWidth="1"/>
    <col min="14347" max="14349" width="8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599" width="7.625" style="568" bestFit="1" customWidth="1"/>
    <col min="14600" max="14600" width="2.25" style="568" bestFit="1" customWidth="1"/>
    <col min="14601" max="14601" width="4.375" style="568" bestFit="1" customWidth="1"/>
    <col min="14602" max="14602" width="8.375" style="568" bestFit="1" customWidth="1"/>
    <col min="14603" max="14605" width="8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5" width="7.625" style="568" bestFit="1" customWidth="1"/>
    <col min="14856" max="14856" width="2.25" style="568" bestFit="1" customWidth="1"/>
    <col min="14857" max="14857" width="4.375" style="568" bestFit="1" customWidth="1"/>
    <col min="14858" max="14858" width="8.375" style="568" bestFit="1" customWidth="1"/>
    <col min="14859" max="14861" width="8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1" width="7.625" style="568" bestFit="1" customWidth="1"/>
    <col min="15112" max="15112" width="2.25" style="568" bestFit="1" customWidth="1"/>
    <col min="15113" max="15113" width="4.375" style="568" bestFit="1" customWidth="1"/>
    <col min="15114" max="15114" width="8.375" style="568" bestFit="1" customWidth="1"/>
    <col min="15115" max="15117" width="8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7" width="7.625" style="568" bestFit="1" customWidth="1"/>
    <col min="15368" max="15368" width="2.25" style="568" bestFit="1" customWidth="1"/>
    <col min="15369" max="15369" width="4.375" style="568" bestFit="1" customWidth="1"/>
    <col min="15370" max="15370" width="8.375" style="568" bestFit="1" customWidth="1"/>
    <col min="15371" max="15373" width="8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3" width="7.625" style="568" bestFit="1" customWidth="1"/>
    <col min="15624" max="15624" width="2.25" style="568" bestFit="1" customWidth="1"/>
    <col min="15625" max="15625" width="4.375" style="568" bestFit="1" customWidth="1"/>
    <col min="15626" max="15626" width="8.375" style="568" bestFit="1" customWidth="1"/>
    <col min="15627" max="15629" width="8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79" width="7.625" style="568" bestFit="1" customWidth="1"/>
    <col min="15880" max="15880" width="2.25" style="568" bestFit="1" customWidth="1"/>
    <col min="15881" max="15881" width="4.375" style="568" bestFit="1" customWidth="1"/>
    <col min="15882" max="15882" width="8.375" style="568" bestFit="1" customWidth="1"/>
    <col min="15883" max="15885" width="8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5" width="7.625" style="568" bestFit="1" customWidth="1"/>
    <col min="16136" max="16136" width="2.25" style="568" bestFit="1" customWidth="1"/>
    <col min="16137" max="16137" width="4.375" style="568" bestFit="1" customWidth="1"/>
    <col min="16138" max="16138" width="8.375" style="568" bestFit="1" customWidth="1"/>
    <col min="16139" max="16141" width="8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793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39</v>
      </c>
      <c r="J9" s="567" t="s">
        <v>327</v>
      </c>
      <c r="K9" s="567" t="s">
        <v>1002</v>
      </c>
      <c r="L9" s="567" t="s">
        <v>1003</v>
      </c>
      <c r="M9" s="567" t="s">
        <v>1004</v>
      </c>
      <c r="N9" s="567" t="s">
        <v>1011</v>
      </c>
      <c r="O9" s="567" t="s">
        <v>1012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3.9166666666666662E-2</v>
      </c>
      <c r="E10" s="567">
        <v>27072</v>
      </c>
      <c r="F10" s="567" t="s">
        <v>1001</v>
      </c>
      <c r="G10" s="567" t="s">
        <v>326</v>
      </c>
      <c r="H10" s="567">
        <v>0</v>
      </c>
      <c r="I10" s="567">
        <v>39</v>
      </c>
      <c r="J10" s="567" t="s">
        <v>327</v>
      </c>
      <c r="K10" s="567" t="s">
        <v>1002</v>
      </c>
      <c r="L10" s="567" t="s">
        <v>1003</v>
      </c>
      <c r="M10" s="567" t="s">
        <v>1004</v>
      </c>
      <c r="N10" s="567" t="s">
        <v>1011</v>
      </c>
      <c r="O10" s="567" t="s">
        <v>1012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4.1666666666666664E-2</v>
      </c>
      <c r="E11" s="567">
        <v>1728</v>
      </c>
      <c r="F11" s="567" t="s">
        <v>1001</v>
      </c>
      <c r="G11" s="567" t="s">
        <v>326</v>
      </c>
      <c r="H11" s="567">
        <v>0</v>
      </c>
      <c r="I11" s="567">
        <v>97</v>
      </c>
      <c r="J11" s="567" t="s">
        <v>327</v>
      </c>
      <c r="K11" s="567" t="s">
        <v>1002</v>
      </c>
      <c r="L11" s="567" t="s">
        <v>1003</v>
      </c>
      <c r="M11" s="567" t="s">
        <v>1004</v>
      </c>
      <c r="N11" s="567" t="s">
        <v>1011</v>
      </c>
      <c r="O11" s="567" t="s">
        <v>1012</v>
      </c>
      <c r="P11" s="567" t="s">
        <v>1007</v>
      </c>
      <c r="Q11" s="567" t="s">
        <v>1008</v>
      </c>
      <c r="R11" s="567">
        <v>80</v>
      </c>
    </row>
    <row r="12" spans="1:18" ht="15" x14ac:dyDescent="0.2">
      <c r="A12" s="567"/>
      <c r="B12" s="567"/>
      <c r="C12" s="567"/>
      <c r="D12" s="569">
        <v>0.15263888888888888</v>
      </c>
      <c r="E12" s="567">
        <v>76704</v>
      </c>
      <c r="F12" s="567" t="s">
        <v>1001</v>
      </c>
      <c r="G12" s="567" t="s">
        <v>326</v>
      </c>
      <c r="H12" s="567">
        <v>0</v>
      </c>
      <c r="I12" s="567">
        <v>97</v>
      </c>
      <c r="J12" s="567" t="s">
        <v>327</v>
      </c>
      <c r="K12" s="567" t="s">
        <v>1002</v>
      </c>
      <c r="L12" s="567" t="s">
        <v>1003</v>
      </c>
      <c r="M12" s="567" t="s">
        <v>1004</v>
      </c>
      <c r="N12" s="567" t="s">
        <v>1011</v>
      </c>
      <c r="O12" s="567" t="s">
        <v>1012</v>
      </c>
      <c r="P12" s="567" t="s">
        <v>1009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0.15972222222222224</v>
      </c>
      <c r="E13" s="567">
        <v>4896</v>
      </c>
      <c r="F13" s="567" t="s">
        <v>1001</v>
      </c>
      <c r="G13" s="567" t="s">
        <v>326</v>
      </c>
      <c r="H13" s="567">
        <v>0</v>
      </c>
      <c r="I13" s="567">
        <v>401</v>
      </c>
      <c r="J13" s="567" t="s">
        <v>327</v>
      </c>
      <c r="K13" s="567" t="s">
        <v>1002</v>
      </c>
      <c r="L13" s="567" t="s">
        <v>1003</v>
      </c>
      <c r="M13" s="567" t="s">
        <v>1004</v>
      </c>
      <c r="N13" s="567" t="s">
        <v>1011</v>
      </c>
      <c r="O13" s="567" t="s">
        <v>1012</v>
      </c>
      <c r="P13" s="567" t="s">
        <v>1007</v>
      </c>
      <c r="Q13" s="567" t="s">
        <v>1008</v>
      </c>
      <c r="R13" s="567">
        <v>80</v>
      </c>
    </row>
    <row r="14" spans="1:18" ht="15" x14ac:dyDescent="0.2">
      <c r="A14" s="567"/>
      <c r="B14" s="567"/>
      <c r="C14" s="567"/>
      <c r="D14" s="569">
        <v>0.32226851851851851</v>
      </c>
      <c r="E14" s="567">
        <v>112352</v>
      </c>
      <c r="F14" s="567" t="s">
        <v>1001</v>
      </c>
      <c r="G14" s="567" t="s">
        <v>326</v>
      </c>
      <c r="H14" s="567">
        <v>0</v>
      </c>
      <c r="I14" s="567">
        <v>401</v>
      </c>
      <c r="J14" s="567" t="s">
        <v>327</v>
      </c>
      <c r="K14" s="567" t="s">
        <v>1002</v>
      </c>
      <c r="L14" s="567" t="s">
        <v>1003</v>
      </c>
      <c r="M14" s="567" t="s">
        <v>1004</v>
      </c>
      <c r="N14" s="567" t="s">
        <v>1011</v>
      </c>
      <c r="O14" s="567" t="s">
        <v>1012</v>
      </c>
      <c r="P14" s="567" t="s">
        <v>1009</v>
      </c>
      <c r="Q14" s="567" t="s">
        <v>1008</v>
      </c>
      <c r="R14" s="567">
        <v>80</v>
      </c>
    </row>
    <row r="15" spans="1:18" ht="15" x14ac:dyDescent="0.2">
      <c r="A15" s="567"/>
      <c r="B15" s="567"/>
      <c r="C15" s="567"/>
      <c r="D15" s="569">
        <v>0.32226851851851851</v>
      </c>
      <c r="E15" s="567">
        <v>0</v>
      </c>
      <c r="F15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7" width="7.625" style="568" bestFit="1" customWidth="1"/>
    <col min="8" max="8" width="2.25" style="568" bestFit="1" customWidth="1"/>
    <col min="9" max="9" width="4.375" style="568" bestFit="1" customWidth="1"/>
    <col min="10" max="10" width="8.375" style="568" bestFit="1" customWidth="1"/>
    <col min="11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3" width="7.625" style="568" bestFit="1" customWidth="1"/>
    <col min="264" max="264" width="2.25" style="568" bestFit="1" customWidth="1"/>
    <col min="265" max="265" width="4.375" style="568" bestFit="1" customWidth="1"/>
    <col min="266" max="266" width="8.375" style="568" bestFit="1" customWidth="1"/>
    <col min="267" max="269" width="8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19" width="7.625" style="568" bestFit="1" customWidth="1"/>
    <col min="520" max="520" width="2.25" style="568" bestFit="1" customWidth="1"/>
    <col min="521" max="521" width="4.375" style="568" bestFit="1" customWidth="1"/>
    <col min="522" max="522" width="8.375" style="568" bestFit="1" customWidth="1"/>
    <col min="523" max="525" width="8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5" width="7.625" style="568" bestFit="1" customWidth="1"/>
    <col min="776" max="776" width="2.25" style="568" bestFit="1" customWidth="1"/>
    <col min="777" max="777" width="4.375" style="568" bestFit="1" customWidth="1"/>
    <col min="778" max="778" width="8.375" style="568" bestFit="1" customWidth="1"/>
    <col min="779" max="781" width="8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1" width="7.625" style="568" bestFit="1" customWidth="1"/>
    <col min="1032" max="1032" width="2.25" style="568" bestFit="1" customWidth="1"/>
    <col min="1033" max="1033" width="4.375" style="568" bestFit="1" customWidth="1"/>
    <col min="1034" max="1034" width="8.375" style="568" bestFit="1" customWidth="1"/>
    <col min="1035" max="1037" width="8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7" width="7.625" style="568" bestFit="1" customWidth="1"/>
    <col min="1288" max="1288" width="2.25" style="568" bestFit="1" customWidth="1"/>
    <col min="1289" max="1289" width="4.375" style="568" bestFit="1" customWidth="1"/>
    <col min="1290" max="1290" width="8.375" style="568" bestFit="1" customWidth="1"/>
    <col min="1291" max="1293" width="8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3" width="7.625" style="568" bestFit="1" customWidth="1"/>
    <col min="1544" max="1544" width="2.25" style="568" bestFit="1" customWidth="1"/>
    <col min="1545" max="1545" width="4.375" style="568" bestFit="1" customWidth="1"/>
    <col min="1546" max="1546" width="8.375" style="568" bestFit="1" customWidth="1"/>
    <col min="1547" max="1549" width="8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799" width="7.625" style="568" bestFit="1" customWidth="1"/>
    <col min="1800" max="1800" width="2.25" style="568" bestFit="1" customWidth="1"/>
    <col min="1801" max="1801" width="4.375" style="568" bestFit="1" customWidth="1"/>
    <col min="1802" max="1802" width="8.375" style="568" bestFit="1" customWidth="1"/>
    <col min="1803" max="1805" width="8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5" width="7.625" style="568" bestFit="1" customWidth="1"/>
    <col min="2056" max="2056" width="2.25" style="568" bestFit="1" customWidth="1"/>
    <col min="2057" max="2057" width="4.375" style="568" bestFit="1" customWidth="1"/>
    <col min="2058" max="2058" width="8.375" style="568" bestFit="1" customWidth="1"/>
    <col min="2059" max="2061" width="8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1" width="7.625" style="568" bestFit="1" customWidth="1"/>
    <col min="2312" max="2312" width="2.25" style="568" bestFit="1" customWidth="1"/>
    <col min="2313" max="2313" width="4.375" style="568" bestFit="1" customWidth="1"/>
    <col min="2314" max="2314" width="8.375" style="568" bestFit="1" customWidth="1"/>
    <col min="2315" max="2317" width="8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7" width="7.625" style="568" bestFit="1" customWidth="1"/>
    <col min="2568" max="2568" width="2.25" style="568" bestFit="1" customWidth="1"/>
    <col min="2569" max="2569" width="4.375" style="568" bestFit="1" customWidth="1"/>
    <col min="2570" max="2570" width="8.375" style="568" bestFit="1" customWidth="1"/>
    <col min="2571" max="2573" width="8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3" width="7.625" style="568" bestFit="1" customWidth="1"/>
    <col min="2824" max="2824" width="2.25" style="568" bestFit="1" customWidth="1"/>
    <col min="2825" max="2825" width="4.375" style="568" bestFit="1" customWidth="1"/>
    <col min="2826" max="2826" width="8.375" style="568" bestFit="1" customWidth="1"/>
    <col min="2827" max="2829" width="8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79" width="7.625" style="568" bestFit="1" customWidth="1"/>
    <col min="3080" max="3080" width="2.25" style="568" bestFit="1" customWidth="1"/>
    <col min="3081" max="3081" width="4.375" style="568" bestFit="1" customWidth="1"/>
    <col min="3082" max="3082" width="8.375" style="568" bestFit="1" customWidth="1"/>
    <col min="3083" max="3085" width="8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5" width="7.625" style="568" bestFit="1" customWidth="1"/>
    <col min="3336" max="3336" width="2.25" style="568" bestFit="1" customWidth="1"/>
    <col min="3337" max="3337" width="4.375" style="568" bestFit="1" customWidth="1"/>
    <col min="3338" max="3338" width="8.375" style="568" bestFit="1" customWidth="1"/>
    <col min="3339" max="3341" width="8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1" width="7.625" style="568" bestFit="1" customWidth="1"/>
    <col min="3592" max="3592" width="2.25" style="568" bestFit="1" customWidth="1"/>
    <col min="3593" max="3593" width="4.375" style="568" bestFit="1" customWidth="1"/>
    <col min="3594" max="3594" width="8.375" style="568" bestFit="1" customWidth="1"/>
    <col min="3595" max="3597" width="8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7" width="7.625" style="568" bestFit="1" customWidth="1"/>
    <col min="3848" max="3848" width="2.25" style="568" bestFit="1" customWidth="1"/>
    <col min="3849" max="3849" width="4.375" style="568" bestFit="1" customWidth="1"/>
    <col min="3850" max="3850" width="8.375" style="568" bestFit="1" customWidth="1"/>
    <col min="3851" max="3853" width="8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3" width="7.625" style="568" bestFit="1" customWidth="1"/>
    <col min="4104" max="4104" width="2.25" style="568" bestFit="1" customWidth="1"/>
    <col min="4105" max="4105" width="4.375" style="568" bestFit="1" customWidth="1"/>
    <col min="4106" max="4106" width="8.375" style="568" bestFit="1" customWidth="1"/>
    <col min="4107" max="4109" width="8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59" width="7.625" style="568" bestFit="1" customWidth="1"/>
    <col min="4360" max="4360" width="2.25" style="568" bestFit="1" customWidth="1"/>
    <col min="4361" max="4361" width="4.375" style="568" bestFit="1" customWidth="1"/>
    <col min="4362" max="4362" width="8.375" style="568" bestFit="1" customWidth="1"/>
    <col min="4363" max="4365" width="8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5" width="7.625" style="568" bestFit="1" customWidth="1"/>
    <col min="4616" max="4616" width="2.25" style="568" bestFit="1" customWidth="1"/>
    <col min="4617" max="4617" width="4.375" style="568" bestFit="1" customWidth="1"/>
    <col min="4618" max="4618" width="8.375" style="568" bestFit="1" customWidth="1"/>
    <col min="4619" max="4621" width="8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1" width="7.625" style="568" bestFit="1" customWidth="1"/>
    <col min="4872" max="4872" width="2.25" style="568" bestFit="1" customWidth="1"/>
    <col min="4873" max="4873" width="4.375" style="568" bestFit="1" customWidth="1"/>
    <col min="4874" max="4874" width="8.375" style="568" bestFit="1" customWidth="1"/>
    <col min="4875" max="4877" width="8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7" width="7.625" style="568" bestFit="1" customWidth="1"/>
    <col min="5128" max="5128" width="2.25" style="568" bestFit="1" customWidth="1"/>
    <col min="5129" max="5129" width="4.375" style="568" bestFit="1" customWidth="1"/>
    <col min="5130" max="5130" width="8.375" style="568" bestFit="1" customWidth="1"/>
    <col min="5131" max="5133" width="8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3" width="7.625" style="568" bestFit="1" customWidth="1"/>
    <col min="5384" max="5384" width="2.25" style="568" bestFit="1" customWidth="1"/>
    <col min="5385" max="5385" width="4.375" style="568" bestFit="1" customWidth="1"/>
    <col min="5386" max="5386" width="8.375" style="568" bestFit="1" customWidth="1"/>
    <col min="5387" max="5389" width="8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39" width="7.625" style="568" bestFit="1" customWidth="1"/>
    <col min="5640" max="5640" width="2.25" style="568" bestFit="1" customWidth="1"/>
    <col min="5641" max="5641" width="4.375" style="568" bestFit="1" customWidth="1"/>
    <col min="5642" max="5642" width="8.375" style="568" bestFit="1" customWidth="1"/>
    <col min="5643" max="5645" width="8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5" width="7.625" style="568" bestFit="1" customWidth="1"/>
    <col min="5896" max="5896" width="2.25" style="568" bestFit="1" customWidth="1"/>
    <col min="5897" max="5897" width="4.375" style="568" bestFit="1" customWidth="1"/>
    <col min="5898" max="5898" width="8.375" style="568" bestFit="1" customWidth="1"/>
    <col min="5899" max="5901" width="8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1" width="7.625" style="568" bestFit="1" customWidth="1"/>
    <col min="6152" max="6152" width="2.25" style="568" bestFit="1" customWidth="1"/>
    <col min="6153" max="6153" width="4.375" style="568" bestFit="1" customWidth="1"/>
    <col min="6154" max="6154" width="8.375" style="568" bestFit="1" customWidth="1"/>
    <col min="6155" max="6157" width="8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7" width="7.625" style="568" bestFit="1" customWidth="1"/>
    <col min="6408" max="6408" width="2.25" style="568" bestFit="1" customWidth="1"/>
    <col min="6409" max="6409" width="4.375" style="568" bestFit="1" customWidth="1"/>
    <col min="6410" max="6410" width="8.375" style="568" bestFit="1" customWidth="1"/>
    <col min="6411" max="6413" width="8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3" width="7.625" style="568" bestFit="1" customWidth="1"/>
    <col min="6664" max="6664" width="2.25" style="568" bestFit="1" customWidth="1"/>
    <col min="6665" max="6665" width="4.375" style="568" bestFit="1" customWidth="1"/>
    <col min="6666" max="6666" width="8.375" style="568" bestFit="1" customWidth="1"/>
    <col min="6667" max="6669" width="8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19" width="7.625" style="568" bestFit="1" customWidth="1"/>
    <col min="6920" max="6920" width="2.25" style="568" bestFit="1" customWidth="1"/>
    <col min="6921" max="6921" width="4.375" style="568" bestFit="1" customWidth="1"/>
    <col min="6922" max="6922" width="8.375" style="568" bestFit="1" customWidth="1"/>
    <col min="6923" max="6925" width="8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5" width="7.625" style="568" bestFit="1" customWidth="1"/>
    <col min="7176" max="7176" width="2.25" style="568" bestFit="1" customWidth="1"/>
    <col min="7177" max="7177" width="4.375" style="568" bestFit="1" customWidth="1"/>
    <col min="7178" max="7178" width="8.375" style="568" bestFit="1" customWidth="1"/>
    <col min="7179" max="7181" width="8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1" width="7.625" style="568" bestFit="1" customWidth="1"/>
    <col min="7432" max="7432" width="2.25" style="568" bestFit="1" customWidth="1"/>
    <col min="7433" max="7433" width="4.375" style="568" bestFit="1" customWidth="1"/>
    <col min="7434" max="7434" width="8.375" style="568" bestFit="1" customWidth="1"/>
    <col min="7435" max="7437" width="8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7" width="7.625" style="568" bestFit="1" customWidth="1"/>
    <col min="7688" max="7688" width="2.25" style="568" bestFit="1" customWidth="1"/>
    <col min="7689" max="7689" width="4.375" style="568" bestFit="1" customWidth="1"/>
    <col min="7690" max="7690" width="8.375" style="568" bestFit="1" customWidth="1"/>
    <col min="7691" max="7693" width="8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3" width="7.625" style="568" bestFit="1" customWidth="1"/>
    <col min="7944" max="7944" width="2.25" style="568" bestFit="1" customWidth="1"/>
    <col min="7945" max="7945" width="4.375" style="568" bestFit="1" customWidth="1"/>
    <col min="7946" max="7946" width="8.375" style="568" bestFit="1" customWidth="1"/>
    <col min="7947" max="7949" width="8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199" width="7.625" style="568" bestFit="1" customWidth="1"/>
    <col min="8200" max="8200" width="2.25" style="568" bestFit="1" customWidth="1"/>
    <col min="8201" max="8201" width="4.375" style="568" bestFit="1" customWidth="1"/>
    <col min="8202" max="8202" width="8.375" style="568" bestFit="1" customWidth="1"/>
    <col min="8203" max="8205" width="8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5" width="7.625" style="568" bestFit="1" customWidth="1"/>
    <col min="8456" max="8456" width="2.25" style="568" bestFit="1" customWidth="1"/>
    <col min="8457" max="8457" width="4.375" style="568" bestFit="1" customWidth="1"/>
    <col min="8458" max="8458" width="8.375" style="568" bestFit="1" customWidth="1"/>
    <col min="8459" max="8461" width="8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1" width="7.625" style="568" bestFit="1" customWidth="1"/>
    <col min="8712" max="8712" width="2.25" style="568" bestFit="1" customWidth="1"/>
    <col min="8713" max="8713" width="4.375" style="568" bestFit="1" customWidth="1"/>
    <col min="8714" max="8714" width="8.375" style="568" bestFit="1" customWidth="1"/>
    <col min="8715" max="8717" width="8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7" width="7.625" style="568" bestFit="1" customWidth="1"/>
    <col min="8968" max="8968" width="2.25" style="568" bestFit="1" customWidth="1"/>
    <col min="8969" max="8969" width="4.375" style="568" bestFit="1" customWidth="1"/>
    <col min="8970" max="8970" width="8.375" style="568" bestFit="1" customWidth="1"/>
    <col min="8971" max="8973" width="8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3" width="7.625" style="568" bestFit="1" customWidth="1"/>
    <col min="9224" max="9224" width="2.25" style="568" bestFit="1" customWidth="1"/>
    <col min="9225" max="9225" width="4.375" style="568" bestFit="1" customWidth="1"/>
    <col min="9226" max="9226" width="8.375" style="568" bestFit="1" customWidth="1"/>
    <col min="9227" max="9229" width="8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79" width="7.625" style="568" bestFit="1" customWidth="1"/>
    <col min="9480" max="9480" width="2.25" style="568" bestFit="1" customWidth="1"/>
    <col min="9481" max="9481" width="4.375" style="568" bestFit="1" customWidth="1"/>
    <col min="9482" max="9482" width="8.375" style="568" bestFit="1" customWidth="1"/>
    <col min="9483" max="9485" width="8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5" width="7.625" style="568" bestFit="1" customWidth="1"/>
    <col min="9736" max="9736" width="2.25" style="568" bestFit="1" customWidth="1"/>
    <col min="9737" max="9737" width="4.375" style="568" bestFit="1" customWidth="1"/>
    <col min="9738" max="9738" width="8.375" style="568" bestFit="1" customWidth="1"/>
    <col min="9739" max="9741" width="8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1" width="7.625" style="568" bestFit="1" customWidth="1"/>
    <col min="9992" max="9992" width="2.25" style="568" bestFit="1" customWidth="1"/>
    <col min="9993" max="9993" width="4.375" style="568" bestFit="1" customWidth="1"/>
    <col min="9994" max="9994" width="8.375" style="568" bestFit="1" customWidth="1"/>
    <col min="9995" max="9997" width="8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7" width="7.625" style="568" bestFit="1" customWidth="1"/>
    <col min="10248" max="10248" width="2.25" style="568" bestFit="1" customWidth="1"/>
    <col min="10249" max="10249" width="4.375" style="568" bestFit="1" customWidth="1"/>
    <col min="10250" max="10250" width="8.375" style="568" bestFit="1" customWidth="1"/>
    <col min="10251" max="10253" width="8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3" width="7.625" style="568" bestFit="1" customWidth="1"/>
    <col min="10504" max="10504" width="2.25" style="568" bestFit="1" customWidth="1"/>
    <col min="10505" max="10505" width="4.375" style="568" bestFit="1" customWidth="1"/>
    <col min="10506" max="10506" width="8.375" style="568" bestFit="1" customWidth="1"/>
    <col min="10507" max="10509" width="8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59" width="7.625" style="568" bestFit="1" customWidth="1"/>
    <col min="10760" max="10760" width="2.25" style="568" bestFit="1" customWidth="1"/>
    <col min="10761" max="10761" width="4.375" style="568" bestFit="1" customWidth="1"/>
    <col min="10762" max="10762" width="8.375" style="568" bestFit="1" customWidth="1"/>
    <col min="10763" max="10765" width="8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5" width="7.625" style="568" bestFit="1" customWidth="1"/>
    <col min="11016" max="11016" width="2.25" style="568" bestFit="1" customWidth="1"/>
    <col min="11017" max="11017" width="4.375" style="568" bestFit="1" customWidth="1"/>
    <col min="11018" max="11018" width="8.375" style="568" bestFit="1" customWidth="1"/>
    <col min="11019" max="11021" width="8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1" width="7.625" style="568" bestFit="1" customWidth="1"/>
    <col min="11272" max="11272" width="2.25" style="568" bestFit="1" customWidth="1"/>
    <col min="11273" max="11273" width="4.375" style="568" bestFit="1" customWidth="1"/>
    <col min="11274" max="11274" width="8.375" style="568" bestFit="1" customWidth="1"/>
    <col min="11275" max="11277" width="8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7" width="7.625" style="568" bestFit="1" customWidth="1"/>
    <col min="11528" max="11528" width="2.25" style="568" bestFit="1" customWidth="1"/>
    <col min="11529" max="11529" width="4.375" style="568" bestFit="1" customWidth="1"/>
    <col min="11530" max="11530" width="8.375" style="568" bestFit="1" customWidth="1"/>
    <col min="11531" max="11533" width="8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3" width="7.625" style="568" bestFit="1" customWidth="1"/>
    <col min="11784" max="11784" width="2.25" style="568" bestFit="1" customWidth="1"/>
    <col min="11785" max="11785" width="4.375" style="568" bestFit="1" customWidth="1"/>
    <col min="11786" max="11786" width="8.375" style="568" bestFit="1" customWidth="1"/>
    <col min="11787" max="11789" width="8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39" width="7.625" style="568" bestFit="1" customWidth="1"/>
    <col min="12040" max="12040" width="2.25" style="568" bestFit="1" customWidth="1"/>
    <col min="12041" max="12041" width="4.375" style="568" bestFit="1" customWidth="1"/>
    <col min="12042" max="12042" width="8.375" style="568" bestFit="1" customWidth="1"/>
    <col min="12043" max="12045" width="8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5" width="7.625" style="568" bestFit="1" customWidth="1"/>
    <col min="12296" max="12296" width="2.25" style="568" bestFit="1" customWidth="1"/>
    <col min="12297" max="12297" width="4.375" style="568" bestFit="1" customWidth="1"/>
    <col min="12298" max="12298" width="8.375" style="568" bestFit="1" customWidth="1"/>
    <col min="12299" max="12301" width="8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1" width="7.625" style="568" bestFit="1" customWidth="1"/>
    <col min="12552" max="12552" width="2.25" style="568" bestFit="1" customWidth="1"/>
    <col min="12553" max="12553" width="4.375" style="568" bestFit="1" customWidth="1"/>
    <col min="12554" max="12554" width="8.375" style="568" bestFit="1" customWidth="1"/>
    <col min="12555" max="12557" width="8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7" width="7.625" style="568" bestFit="1" customWidth="1"/>
    <col min="12808" max="12808" width="2.25" style="568" bestFit="1" customWidth="1"/>
    <col min="12809" max="12809" width="4.375" style="568" bestFit="1" customWidth="1"/>
    <col min="12810" max="12810" width="8.375" style="568" bestFit="1" customWidth="1"/>
    <col min="12811" max="12813" width="8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3" width="7.625" style="568" bestFit="1" customWidth="1"/>
    <col min="13064" max="13064" width="2.25" style="568" bestFit="1" customWidth="1"/>
    <col min="13065" max="13065" width="4.375" style="568" bestFit="1" customWidth="1"/>
    <col min="13066" max="13066" width="8.375" style="568" bestFit="1" customWidth="1"/>
    <col min="13067" max="13069" width="8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19" width="7.625" style="568" bestFit="1" customWidth="1"/>
    <col min="13320" max="13320" width="2.25" style="568" bestFit="1" customWidth="1"/>
    <col min="13321" max="13321" width="4.375" style="568" bestFit="1" customWidth="1"/>
    <col min="13322" max="13322" width="8.375" style="568" bestFit="1" customWidth="1"/>
    <col min="13323" max="13325" width="8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5" width="7.625" style="568" bestFit="1" customWidth="1"/>
    <col min="13576" max="13576" width="2.25" style="568" bestFit="1" customWidth="1"/>
    <col min="13577" max="13577" width="4.375" style="568" bestFit="1" customWidth="1"/>
    <col min="13578" max="13578" width="8.375" style="568" bestFit="1" customWidth="1"/>
    <col min="13579" max="13581" width="8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1" width="7.625" style="568" bestFit="1" customWidth="1"/>
    <col min="13832" max="13832" width="2.25" style="568" bestFit="1" customWidth="1"/>
    <col min="13833" max="13833" width="4.375" style="568" bestFit="1" customWidth="1"/>
    <col min="13834" max="13834" width="8.375" style="568" bestFit="1" customWidth="1"/>
    <col min="13835" max="13837" width="8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7" width="7.625" style="568" bestFit="1" customWidth="1"/>
    <col min="14088" max="14088" width="2.25" style="568" bestFit="1" customWidth="1"/>
    <col min="14089" max="14089" width="4.375" style="568" bestFit="1" customWidth="1"/>
    <col min="14090" max="14090" width="8.375" style="568" bestFit="1" customWidth="1"/>
    <col min="14091" max="14093" width="8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3" width="7.625" style="568" bestFit="1" customWidth="1"/>
    <col min="14344" max="14344" width="2.25" style="568" bestFit="1" customWidth="1"/>
    <col min="14345" max="14345" width="4.375" style="568" bestFit="1" customWidth="1"/>
    <col min="14346" max="14346" width="8.375" style="568" bestFit="1" customWidth="1"/>
    <col min="14347" max="14349" width="8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599" width="7.625" style="568" bestFit="1" customWidth="1"/>
    <col min="14600" max="14600" width="2.25" style="568" bestFit="1" customWidth="1"/>
    <col min="14601" max="14601" width="4.375" style="568" bestFit="1" customWidth="1"/>
    <col min="14602" max="14602" width="8.375" style="568" bestFit="1" customWidth="1"/>
    <col min="14603" max="14605" width="8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5" width="7.625" style="568" bestFit="1" customWidth="1"/>
    <col min="14856" max="14856" width="2.25" style="568" bestFit="1" customWidth="1"/>
    <col min="14857" max="14857" width="4.375" style="568" bestFit="1" customWidth="1"/>
    <col min="14858" max="14858" width="8.375" style="568" bestFit="1" customWidth="1"/>
    <col min="14859" max="14861" width="8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1" width="7.625" style="568" bestFit="1" customWidth="1"/>
    <col min="15112" max="15112" width="2.25" style="568" bestFit="1" customWidth="1"/>
    <col min="15113" max="15113" width="4.375" style="568" bestFit="1" customWidth="1"/>
    <col min="15114" max="15114" width="8.375" style="568" bestFit="1" customWidth="1"/>
    <col min="15115" max="15117" width="8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7" width="7.625" style="568" bestFit="1" customWidth="1"/>
    <col min="15368" max="15368" width="2.25" style="568" bestFit="1" customWidth="1"/>
    <col min="15369" max="15369" width="4.375" style="568" bestFit="1" customWidth="1"/>
    <col min="15370" max="15370" width="8.375" style="568" bestFit="1" customWidth="1"/>
    <col min="15371" max="15373" width="8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3" width="7.625" style="568" bestFit="1" customWidth="1"/>
    <col min="15624" max="15624" width="2.25" style="568" bestFit="1" customWidth="1"/>
    <col min="15625" max="15625" width="4.375" style="568" bestFit="1" customWidth="1"/>
    <col min="15626" max="15626" width="8.375" style="568" bestFit="1" customWidth="1"/>
    <col min="15627" max="15629" width="8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79" width="7.625" style="568" bestFit="1" customWidth="1"/>
    <col min="15880" max="15880" width="2.25" style="568" bestFit="1" customWidth="1"/>
    <col min="15881" max="15881" width="4.375" style="568" bestFit="1" customWidth="1"/>
    <col min="15882" max="15882" width="8.375" style="568" bestFit="1" customWidth="1"/>
    <col min="15883" max="15885" width="8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5" width="7.625" style="568" bestFit="1" customWidth="1"/>
    <col min="16136" max="16136" width="2.25" style="568" bestFit="1" customWidth="1"/>
    <col min="16137" max="16137" width="4.375" style="568" bestFit="1" customWidth="1"/>
    <col min="16138" max="16138" width="8.375" style="568" bestFit="1" customWidth="1"/>
    <col min="16139" max="16141" width="8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807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401</v>
      </c>
      <c r="J9" s="567" t="s">
        <v>327</v>
      </c>
      <c r="K9" s="567" t="s">
        <v>1002</v>
      </c>
      <c r="L9" s="567" t="s">
        <v>1003</v>
      </c>
      <c r="M9" s="567" t="s">
        <v>1004</v>
      </c>
      <c r="N9" s="567" t="s">
        <v>1011</v>
      </c>
      <c r="O9" s="567" t="s">
        <v>1012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0.13643518518518519</v>
      </c>
      <c r="E10" s="567">
        <v>94304</v>
      </c>
      <c r="F10" s="567" t="s">
        <v>1001</v>
      </c>
      <c r="G10" s="567" t="s">
        <v>326</v>
      </c>
      <c r="H10" s="567">
        <v>0</v>
      </c>
      <c r="I10" s="567">
        <v>401</v>
      </c>
      <c r="J10" s="567" t="s">
        <v>327</v>
      </c>
      <c r="K10" s="567" t="s">
        <v>1002</v>
      </c>
      <c r="L10" s="567" t="s">
        <v>1003</v>
      </c>
      <c r="M10" s="567" t="s">
        <v>1004</v>
      </c>
      <c r="N10" s="567" t="s">
        <v>1011</v>
      </c>
      <c r="O10" s="567" t="s">
        <v>1012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0.1451388888888889</v>
      </c>
      <c r="E11" s="567">
        <v>6016</v>
      </c>
      <c r="F11" s="567" t="s">
        <v>1001</v>
      </c>
      <c r="G11" s="567" t="s">
        <v>326</v>
      </c>
      <c r="H11" s="567">
        <v>0</v>
      </c>
      <c r="I11" s="567">
        <v>97</v>
      </c>
      <c r="J11" s="567" t="s">
        <v>327</v>
      </c>
      <c r="K11" s="567" t="s">
        <v>1002</v>
      </c>
      <c r="L11" s="567" t="s">
        <v>1003</v>
      </c>
      <c r="M11" s="567" t="s">
        <v>1004</v>
      </c>
      <c r="N11" s="567" t="s">
        <v>1011</v>
      </c>
      <c r="O11" s="567" t="s">
        <v>1012</v>
      </c>
      <c r="P11" s="567" t="s">
        <v>1007</v>
      </c>
      <c r="Q11" s="567" t="s">
        <v>1008</v>
      </c>
      <c r="R11" s="567">
        <v>80</v>
      </c>
    </row>
    <row r="12" spans="1:18" ht="15" x14ac:dyDescent="0.2">
      <c r="A12" s="567"/>
      <c r="B12" s="567"/>
      <c r="C12" s="567"/>
      <c r="D12" s="569">
        <v>0.24305555555555555</v>
      </c>
      <c r="E12" s="567">
        <v>67680</v>
      </c>
      <c r="F12" s="567" t="s">
        <v>1001</v>
      </c>
      <c r="G12" s="567" t="s">
        <v>326</v>
      </c>
      <c r="H12" s="567">
        <v>0</v>
      </c>
      <c r="I12" s="567">
        <v>97</v>
      </c>
      <c r="J12" s="567" t="s">
        <v>327</v>
      </c>
      <c r="K12" s="567" t="s">
        <v>1002</v>
      </c>
      <c r="L12" s="567" t="s">
        <v>1003</v>
      </c>
      <c r="M12" s="567" t="s">
        <v>1004</v>
      </c>
      <c r="N12" s="567" t="s">
        <v>1011</v>
      </c>
      <c r="O12" s="567" t="s">
        <v>1012</v>
      </c>
      <c r="P12" s="567" t="s">
        <v>1009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0.24930555555555556</v>
      </c>
      <c r="E13" s="567">
        <v>4320</v>
      </c>
      <c r="F13" s="567" t="s">
        <v>1001</v>
      </c>
      <c r="G13" s="567" t="s">
        <v>326</v>
      </c>
      <c r="H13" s="567">
        <v>0</v>
      </c>
      <c r="I13" s="567">
        <v>39</v>
      </c>
      <c r="J13" s="567" t="s">
        <v>327</v>
      </c>
      <c r="K13" s="567" t="s">
        <v>1002</v>
      </c>
      <c r="L13" s="567" t="s">
        <v>1003</v>
      </c>
      <c r="M13" s="567" t="s">
        <v>1004</v>
      </c>
      <c r="N13" s="567" t="s">
        <v>1011</v>
      </c>
      <c r="O13" s="567" t="s">
        <v>1012</v>
      </c>
      <c r="P13" s="567" t="s">
        <v>1007</v>
      </c>
      <c r="Q13" s="567" t="s">
        <v>1008</v>
      </c>
      <c r="R13" s="567">
        <v>80</v>
      </c>
    </row>
    <row r="14" spans="1:18" ht="15" x14ac:dyDescent="0.2">
      <c r="A14" s="567"/>
      <c r="B14" s="567"/>
      <c r="C14" s="567"/>
      <c r="D14" s="569">
        <v>0.28847222222222224</v>
      </c>
      <c r="E14" s="567">
        <v>27072</v>
      </c>
      <c r="F14" s="567" t="s">
        <v>1001</v>
      </c>
      <c r="G14" s="567" t="s">
        <v>326</v>
      </c>
      <c r="H14" s="567">
        <v>0</v>
      </c>
      <c r="I14" s="567">
        <v>39</v>
      </c>
      <c r="J14" s="567" t="s">
        <v>327</v>
      </c>
      <c r="K14" s="567" t="s">
        <v>1002</v>
      </c>
      <c r="L14" s="567" t="s">
        <v>1003</v>
      </c>
      <c r="M14" s="567" t="s">
        <v>1004</v>
      </c>
      <c r="N14" s="567" t="s">
        <v>1011</v>
      </c>
      <c r="O14" s="567" t="s">
        <v>1012</v>
      </c>
      <c r="P14" s="567" t="s">
        <v>1009</v>
      </c>
      <c r="Q14" s="567" t="s">
        <v>1008</v>
      </c>
      <c r="R14" s="567">
        <v>80</v>
      </c>
    </row>
    <row r="15" spans="1:18" ht="15" x14ac:dyDescent="0.2">
      <c r="A15" s="567"/>
      <c r="B15" s="567"/>
      <c r="C15" s="567"/>
      <c r="D15" s="569">
        <v>0.28847222222222224</v>
      </c>
      <c r="E15" s="567">
        <v>0</v>
      </c>
      <c r="F15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7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7" width="7.625" style="568" bestFit="1" customWidth="1"/>
    <col min="8" max="8" width="2.25" style="568" bestFit="1" customWidth="1"/>
    <col min="9" max="9" width="4.375" style="568" bestFit="1" customWidth="1"/>
    <col min="10" max="10" width="8.375" style="568" bestFit="1" customWidth="1"/>
    <col min="11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3" width="7.625" style="568" bestFit="1" customWidth="1"/>
    <col min="264" max="264" width="2.25" style="568" bestFit="1" customWidth="1"/>
    <col min="265" max="265" width="4.375" style="568" bestFit="1" customWidth="1"/>
    <col min="266" max="266" width="8.375" style="568" bestFit="1" customWidth="1"/>
    <col min="267" max="269" width="8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19" width="7.625" style="568" bestFit="1" customWidth="1"/>
    <col min="520" max="520" width="2.25" style="568" bestFit="1" customWidth="1"/>
    <col min="521" max="521" width="4.375" style="568" bestFit="1" customWidth="1"/>
    <col min="522" max="522" width="8.375" style="568" bestFit="1" customWidth="1"/>
    <col min="523" max="525" width="8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5" width="7.625" style="568" bestFit="1" customWidth="1"/>
    <col min="776" max="776" width="2.25" style="568" bestFit="1" customWidth="1"/>
    <col min="777" max="777" width="4.375" style="568" bestFit="1" customWidth="1"/>
    <col min="778" max="778" width="8.375" style="568" bestFit="1" customWidth="1"/>
    <col min="779" max="781" width="8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1" width="7.625" style="568" bestFit="1" customWidth="1"/>
    <col min="1032" max="1032" width="2.25" style="568" bestFit="1" customWidth="1"/>
    <col min="1033" max="1033" width="4.375" style="568" bestFit="1" customWidth="1"/>
    <col min="1034" max="1034" width="8.375" style="568" bestFit="1" customWidth="1"/>
    <col min="1035" max="1037" width="8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7" width="7.625" style="568" bestFit="1" customWidth="1"/>
    <col min="1288" max="1288" width="2.25" style="568" bestFit="1" customWidth="1"/>
    <col min="1289" max="1289" width="4.375" style="568" bestFit="1" customWidth="1"/>
    <col min="1290" max="1290" width="8.375" style="568" bestFit="1" customWidth="1"/>
    <col min="1291" max="1293" width="8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3" width="7.625" style="568" bestFit="1" customWidth="1"/>
    <col min="1544" max="1544" width="2.25" style="568" bestFit="1" customWidth="1"/>
    <col min="1545" max="1545" width="4.375" style="568" bestFit="1" customWidth="1"/>
    <col min="1546" max="1546" width="8.375" style="568" bestFit="1" customWidth="1"/>
    <col min="1547" max="1549" width="8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799" width="7.625" style="568" bestFit="1" customWidth="1"/>
    <col min="1800" max="1800" width="2.25" style="568" bestFit="1" customWidth="1"/>
    <col min="1801" max="1801" width="4.375" style="568" bestFit="1" customWidth="1"/>
    <col min="1802" max="1802" width="8.375" style="568" bestFit="1" customWidth="1"/>
    <col min="1803" max="1805" width="8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5" width="7.625" style="568" bestFit="1" customWidth="1"/>
    <col min="2056" max="2056" width="2.25" style="568" bestFit="1" customWidth="1"/>
    <col min="2057" max="2057" width="4.375" style="568" bestFit="1" customWidth="1"/>
    <col min="2058" max="2058" width="8.375" style="568" bestFit="1" customWidth="1"/>
    <col min="2059" max="2061" width="8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1" width="7.625" style="568" bestFit="1" customWidth="1"/>
    <col min="2312" max="2312" width="2.25" style="568" bestFit="1" customWidth="1"/>
    <col min="2313" max="2313" width="4.375" style="568" bestFit="1" customWidth="1"/>
    <col min="2314" max="2314" width="8.375" style="568" bestFit="1" customWidth="1"/>
    <col min="2315" max="2317" width="8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7" width="7.625" style="568" bestFit="1" customWidth="1"/>
    <col min="2568" max="2568" width="2.25" style="568" bestFit="1" customWidth="1"/>
    <col min="2569" max="2569" width="4.375" style="568" bestFit="1" customWidth="1"/>
    <col min="2570" max="2570" width="8.375" style="568" bestFit="1" customWidth="1"/>
    <col min="2571" max="2573" width="8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3" width="7.625" style="568" bestFit="1" customWidth="1"/>
    <col min="2824" max="2824" width="2.25" style="568" bestFit="1" customWidth="1"/>
    <col min="2825" max="2825" width="4.375" style="568" bestFit="1" customWidth="1"/>
    <col min="2826" max="2826" width="8.375" style="568" bestFit="1" customWidth="1"/>
    <col min="2827" max="2829" width="8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79" width="7.625" style="568" bestFit="1" customWidth="1"/>
    <col min="3080" max="3080" width="2.25" style="568" bestFit="1" customWidth="1"/>
    <col min="3081" max="3081" width="4.375" style="568" bestFit="1" customWidth="1"/>
    <col min="3082" max="3082" width="8.375" style="568" bestFit="1" customWidth="1"/>
    <col min="3083" max="3085" width="8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5" width="7.625" style="568" bestFit="1" customWidth="1"/>
    <col min="3336" max="3336" width="2.25" style="568" bestFit="1" customWidth="1"/>
    <col min="3337" max="3337" width="4.375" style="568" bestFit="1" customWidth="1"/>
    <col min="3338" max="3338" width="8.375" style="568" bestFit="1" customWidth="1"/>
    <col min="3339" max="3341" width="8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1" width="7.625" style="568" bestFit="1" customWidth="1"/>
    <col min="3592" max="3592" width="2.25" style="568" bestFit="1" customWidth="1"/>
    <col min="3593" max="3593" width="4.375" style="568" bestFit="1" customWidth="1"/>
    <col min="3594" max="3594" width="8.375" style="568" bestFit="1" customWidth="1"/>
    <col min="3595" max="3597" width="8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7" width="7.625" style="568" bestFit="1" customWidth="1"/>
    <col min="3848" max="3848" width="2.25" style="568" bestFit="1" customWidth="1"/>
    <col min="3849" max="3849" width="4.375" style="568" bestFit="1" customWidth="1"/>
    <col min="3850" max="3850" width="8.375" style="568" bestFit="1" customWidth="1"/>
    <col min="3851" max="3853" width="8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3" width="7.625" style="568" bestFit="1" customWidth="1"/>
    <col min="4104" max="4104" width="2.25" style="568" bestFit="1" customWidth="1"/>
    <col min="4105" max="4105" width="4.375" style="568" bestFit="1" customWidth="1"/>
    <col min="4106" max="4106" width="8.375" style="568" bestFit="1" customWidth="1"/>
    <col min="4107" max="4109" width="8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59" width="7.625" style="568" bestFit="1" customWidth="1"/>
    <col min="4360" max="4360" width="2.25" style="568" bestFit="1" customWidth="1"/>
    <col min="4361" max="4361" width="4.375" style="568" bestFit="1" customWidth="1"/>
    <col min="4362" max="4362" width="8.375" style="568" bestFit="1" customWidth="1"/>
    <col min="4363" max="4365" width="8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5" width="7.625" style="568" bestFit="1" customWidth="1"/>
    <col min="4616" max="4616" width="2.25" style="568" bestFit="1" customWidth="1"/>
    <col min="4617" max="4617" width="4.375" style="568" bestFit="1" customWidth="1"/>
    <col min="4618" max="4618" width="8.375" style="568" bestFit="1" customWidth="1"/>
    <col min="4619" max="4621" width="8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1" width="7.625" style="568" bestFit="1" customWidth="1"/>
    <col min="4872" max="4872" width="2.25" style="568" bestFit="1" customWidth="1"/>
    <col min="4873" max="4873" width="4.375" style="568" bestFit="1" customWidth="1"/>
    <col min="4874" max="4874" width="8.375" style="568" bestFit="1" customWidth="1"/>
    <col min="4875" max="4877" width="8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7" width="7.625" style="568" bestFit="1" customWidth="1"/>
    <col min="5128" max="5128" width="2.25" style="568" bestFit="1" customWidth="1"/>
    <col min="5129" max="5129" width="4.375" style="568" bestFit="1" customWidth="1"/>
    <col min="5130" max="5130" width="8.375" style="568" bestFit="1" customWidth="1"/>
    <col min="5131" max="5133" width="8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3" width="7.625" style="568" bestFit="1" customWidth="1"/>
    <col min="5384" max="5384" width="2.25" style="568" bestFit="1" customWidth="1"/>
    <col min="5385" max="5385" width="4.375" style="568" bestFit="1" customWidth="1"/>
    <col min="5386" max="5386" width="8.375" style="568" bestFit="1" customWidth="1"/>
    <col min="5387" max="5389" width="8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39" width="7.625" style="568" bestFit="1" customWidth="1"/>
    <col min="5640" max="5640" width="2.25" style="568" bestFit="1" customWidth="1"/>
    <col min="5641" max="5641" width="4.375" style="568" bestFit="1" customWidth="1"/>
    <col min="5642" max="5642" width="8.375" style="568" bestFit="1" customWidth="1"/>
    <col min="5643" max="5645" width="8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5" width="7.625" style="568" bestFit="1" customWidth="1"/>
    <col min="5896" max="5896" width="2.25" style="568" bestFit="1" customWidth="1"/>
    <col min="5897" max="5897" width="4.375" style="568" bestFit="1" customWidth="1"/>
    <col min="5898" max="5898" width="8.375" style="568" bestFit="1" customWidth="1"/>
    <col min="5899" max="5901" width="8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1" width="7.625" style="568" bestFit="1" customWidth="1"/>
    <col min="6152" max="6152" width="2.25" style="568" bestFit="1" customWidth="1"/>
    <col min="6153" max="6153" width="4.375" style="568" bestFit="1" customWidth="1"/>
    <col min="6154" max="6154" width="8.375" style="568" bestFit="1" customWidth="1"/>
    <col min="6155" max="6157" width="8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7" width="7.625" style="568" bestFit="1" customWidth="1"/>
    <col min="6408" max="6408" width="2.25" style="568" bestFit="1" customWidth="1"/>
    <col min="6409" max="6409" width="4.375" style="568" bestFit="1" customWidth="1"/>
    <col min="6410" max="6410" width="8.375" style="568" bestFit="1" customWidth="1"/>
    <col min="6411" max="6413" width="8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3" width="7.625" style="568" bestFit="1" customWidth="1"/>
    <col min="6664" max="6664" width="2.25" style="568" bestFit="1" customWidth="1"/>
    <col min="6665" max="6665" width="4.375" style="568" bestFit="1" customWidth="1"/>
    <col min="6666" max="6666" width="8.375" style="568" bestFit="1" customWidth="1"/>
    <col min="6667" max="6669" width="8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19" width="7.625" style="568" bestFit="1" customWidth="1"/>
    <col min="6920" max="6920" width="2.25" style="568" bestFit="1" customWidth="1"/>
    <col min="6921" max="6921" width="4.375" style="568" bestFit="1" customWidth="1"/>
    <col min="6922" max="6922" width="8.375" style="568" bestFit="1" customWidth="1"/>
    <col min="6923" max="6925" width="8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5" width="7.625" style="568" bestFit="1" customWidth="1"/>
    <col min="7176" max="7176" width="2.25" style="568" bestFit="1" customWidth="1"/>
    <col min="7177" max="7177" width="4.375" style="568" bestFit="1" customWidth="1"/>
    <col min="7178" max="7178" width="8.375" style="568" bestFit="1" customWidth="1"/>
    <col min="7179" max="7181" width="8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1" width="7.625" style="568" bestFit="1" customWidth="1"/>
    <col min="7432" max="7432" width="2.25" style="568" bestFit="1" customWidth="1"/>
    <col min="7433" max="7433" width="4.375" style="568" bestFit="1" customWidth="1"/>
    <col min="7434" max="7434" width="8.375" style="568" bestFit="1" customWidth="1"/>
    <col min="7435" max="7437" width="8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7" width="7.625" style="568" bestFit="1" customWidth="1"/>
    <col min="7688" max="7688" width="2.25" style="568" bestFit="1" customWidth="1"/>
    <col min="7689" max="7689" width="4.375" style="568" bestFit="1" customWidth="1"/>
    <col min="7690" max="7690" width="8.375" style="568" bestFit="1" customWidth="1"/>
    <col min="7691" max="7693" width="8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3" width="7.625" style="568" bestFit="1" customWidth="1"/>
    <col min="7944" max="7944" width="2.25" style="568" bestFit="1" customWidth="1"/>
    <col min="7945" max="7945" width="4.375" style="568" bestFit="1" customWidth="1"/>
    <col min="7946" max="7946" width="8.375" style="568" bestFit="1" customWidth="1"/>
    <col min="7947" max="7949" width="8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199" width="7.625" style="568" bestFit="1" customWidth="1"/>
    <col min="8200" max="8200" width="2.25" style="568" bestFit="1" customWidth="1"/>
    <col min="8201" max="8201" width="4.375" style="568" bestFit="1" customWidth="1"/>
    <col min="8202" max="8202" width="8.375" style="568" bestFit="1" customWidth="1"/>
    <col min="8203" max="8205" width="8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5" width="7.625" style="568" bestFit="1" customWidth="1"/>
    <col min="8456" max="8456" width="2.25" style="568" bestFit="1" customWidth="1"/>
    <col min="8457" max="8457" width="4.375" style="568" bestFit="1" customWidth="1"/>
    <col min="8458" max="8458" width="8.375" style="568" bestFit="1" customWidth="1"/>
    <col min="8459" max="8461" width="8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1" width="7.625" style="568" bestFit="1" customWidth="1"/>
    <col min="8712" max="8712" width="2.25" style="568" bestFit="1" customWidth="1"/>
    <col min="8713" max="8713" width="4.375" style="568" bestFit="1" customWidth="1"/>
    <col min="8714" max="8714" width="8.375" style="568" bestFit="1" customWidth="1"/>
    <col min="8715" max="8717" width="8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7" width="7.625" style="568" bestFit="1" customWidth="1"/>
    <col min="8968" max="8968" width="2.25" style="568" bestFit="1" customWidth="1"/>
    <col min="8969" max="8969" width="4.375" style="568" bestFit="1" customWidth="1"/>
    <col min="8970" max="8970" width="8.375" style="568" bestFit="1" customWidth="1"/>
    <col min="8971" max="8973" width="8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3" width="7.625" style="568" bestFit="1" customWidth="1"/>
    <col min="9224" max="9224" width="2.25" style="568" bestFit="1" customWidth="1"/>
    <col min="9225" max="9225" width="4.375" style="568" bestFit="1" customWidth="1"/>
    <col min="9226" max="9226" width="8.375" style="568" bestFit="1" customWidth="1"/>
    <col min="9227" max="9229" width="8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79" width="7.625" style="568" bestFit="1" customWidth="1"/>
    <col min="9480" max="9480" width="2.25" style="568" bestFit="1" customWidth="1"/>
    <col min="9481" max="9481" width="4.375" style="568" bestFit="1" customWidth="1"/>
    <col min="9482" max="9482" width="8.375" style="568" bestFit="1" customWidth="1"/>
    <col min="9483" max="9485" width="8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5" width="7.625" style="568" bestFit="1" customWidth="1"/>
    <col min="9736" max="9736" width="2.25" style="568" bestFit="1" customWidth="1"/>
    <col min="9737" max="9737" width="4.375" style="568" bestFit="1" customWidth="1"/>
    <col min="9738" max="9738" width="8.375" style="568" bestFit="1" customWidth="1"/>
    <col min="9739" max="9741" width="8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1" width="7.625" style="568" bestFit="1" customWidth="1"/>
    <col min="9992" max="9992" width="2.25" style="568" bestFit="1" customWidth="1"/>
    <col min="9993" max="9993" width="4.375" style="568" bestFit="1" customWidth="1"/>
    <col min="9994" max="9994" width="8.375" style="568" bestFit="1" customWidth="1"/>
    <col min="9995" max="9997" width="8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7" width="7.625" style="568" bestFit="1" customWidth="1"/>
    <col min="10248" max="10248" width="2.25" style="568" bestFit="1" customWidth="1"/>
    <col min="10249" max="10249" width="4.375" style="568" bestFit="1" customWidth="1"/>
    <col min="10250" max="10250" width="8.375" style="568" bestFit="1" customWidth="1"/>
    <col min="10251" max="10253" width="8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3" width="7.625" style="568" bestFit="1" customWidth="1"/>
    <col min="10504" max="10504" width="2.25" style="568" bestFit="1" customWidth="1"/>
    <col min="10505" max="10505" width="4.375" style="568" bestFit="1" customWidth="1"/>
    <col min="10506" max="10506" width="8.375" style="568" bestFit="1" customWidth="1"/>
    <col min="10507" max="10509" width="8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59" width="7.625" style="568" bestFit="1" customWidth="1"/>
    <col min="10760" max="10760" width="2.25" style="568" bestFit="1" customWidth="1"/>
    <col min="10761" max="10761" width="4.375" style="568" bestFit="1" customWidth="1"/>
    <col min="10762" max="10762" width="8.375" style="568" bestFit="1" customWidth="1"/>
    <col min="10763" max="10765" width="8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5" width="7.625" style="568" bestFit="1" customWidth="1"/>
    <col min="11016" max="11016" width="2.25" style="568" bestFit="1" customWidth="1"/>
    <col min="11017" max="11017" width="4.375" style="568" bestFit="1" customWidth="1"/>
    <col min="11018" max="11018" width="8.375" style="568" bestFit="1" customWidth="1"/>
    <col min="11019" max="11021" width="8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1" width="7.625" style="568" bestFit="1" customWidth="1"/>
    <col min="11272" max="11272" width="2.25" style="568" bestFit="1" customWidth="1"/>
    <col min="11273" max="11273" width="4.375" style="568" bestFit="1" customWidth="1"/>
    <col min="11274" max="11274" width="8.375" style="568" bestFit="1" customWidth="1"/>
    <col min="11275" max="11277" width="8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7" width="7.625" style="568" bestFit="1" customWidth="1"/>
    <col min="11528" max="11528" width="2.25" style="568" bestFit="1" customWidth="1"/>
    <col min="11529" max="11529" width="4.375" style="568" bestFit="1" customWidth="1"/>
    <col min="11530" max="11530" width="8.375" style="568" bestFit="1" customWidth="1"/>
    <col min="11531" max="11533" width="8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3" width="7.625" style="568" bestFit="1" customWidth="1"/>
    <col min="11784" max="11784" width="2.25" style="568" bestFit="1" customWidth="1"/>
    <col min="11785" max="11785" width="4.375" style="568" bestFit="1" customWidth="1"/>
    <col min="11786" max="11786" width="8.375" style="568" bestFit="1" customWidth="1"/>
    <col min="11787" max="11789" width="8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39" width="7.625" style="568" bestFit="1" customWidth="1"/>
    <col min="12040" max="12040" width="2.25" style="568" bestFit="1" customWidth="1"/>
    <col min="12041" max="12041" width="4.375" style="568" bestFit="1" customWidth="1"/>
    <col min="12042" max="12042" width="8.375" style="568" bestFit="1" customWidth="1"/>
    <col min="12043" max="12045" width="8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5" width="7.625" style="568" bestFit="1" customWidth="1"/>
    <col min="12296" max="12296" width="2.25" style="568" bestFit="1" customWidth="1"/>
    <col min="12297" max="12297" width="4.375" style="568" bestFit="1" customWidth="1"/>
    <col min="12298" max="12298" width="8.375" style="568" bestFit="1" customWidth="1"/>
    <col min="12299" max="12301" width="8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1" width="7.625" style="568" bestFit="1" customWidth="1"/>
    <col min="12552" max="12552" width="2.25" style="568" bestFit="1" customWidth="1"/>
    <col min="12553" max="12553" width="4.375" style="568" bestFit="1" customWidth="1"/>
    <col min="12554" max="12554" width="8.375" style="568" bestFit="1" customWidth="1"/>
    <col min="12555" max="12557" width="8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7" width="7.625" style="568" bestFit="1" customWidth="1"/>
    <col min="12808" max="12808" width="2.25" style="568" bestFit="1" customWidth="1"/>
    <col min="12809" max="12809" width="4.375" style="568" bestFit="1" customWidth="1"/>
    <col min="12810" max="12810" width="8.375" style="568" bestFit="1" customWidth="1"/>
    <col min="12811" max="12813" width="8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3" width="7.625" style="568" bestFit="1" customWidth="1"/>
    <col min="13064" max="13064" width="2.25" style="568" bestFit="1" customWidth="1"/>
    <col min="13065" max="13065" width="4.375" style="568" bestFit="1" customWidth="1"/>
    <col min="13066" max="13066" width="8.375" style="568" bestFit="1" customWidth="1"/>
    <col min="13067" max="13069" width="8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19" width="7.625" style="568" bestFit="1" customWidth="1"/>
    <col min="13320" max="13320" width="2.25" style="568" bestFit="1" customWidth="1"/>
    <col min="13321" max="13321" width="4.375" style="568" bestFit="1" customWidth="1"/>
    <col min="13322" max="13322" width="8.375" style="568" bestFit="1" customWidth="1"/>
    <col min="13323" max="13325" width="8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5" width="7.625" style="568" bestFit="1" customWidth="1"/>
    <col min="13576" max="13576" width="2.25" style="568" bestFit="1" customWidth="1"/>
    <col min="13577" max="13577" width="4.375" style="568" bestFit="1" customWidth="1"/>
    <col min="13578" max="13578" width="8.375" style="568" bestFit="1" customWidth="1"/>
    <col min="13579" max="13581" width="8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1" width="7.625" style="568" bestFit="1" customWidth="1"/>
    <col min="13832" max="13832" width="2.25" style="568" bestFit="1" customWidth="1"/>
    <col min="13833" max="13833" width="4.375" style="568" bestFit="1" customWidth="1"/>
    <col min="13834" max="13834" width="8.375" style="568" bestFit="1" customWidth="1"/>
    <col min="13835" max="13837" width="8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7" width="7.625" style="568" bestFit="1" customWidth="1"/>
    <col min="14088" max="14088" width="2.25" style="568" bestFit="1" customWidth="1"/>
    <col min="14089" max="14089" width="4.375" style="568" bestFit="1" customWidth="1"/>
    <col min="14090" max="14090" width="8.375" style="568" bestFit="1" customWidth="1"/>
    <col min="14091" max="14093" width="8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3" width="7.625" style="568" bestFit="1" customWidth="1"/>
    <col min="14344" max="14344" width="2.25" style="568" bestFit="1" customWidth="1"/>
    <col min="14345" max="14345" width="4.375" style="568" bestFit="1" customWidth="1"/>
    <col min="14346" max="14346" width="8.375" style="568" bestFit="1" customWidth="1"/>
    <col min="14347" max="14349" width="8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599" width="7.625" style="568" bestFit="1" customWidth="1"/>
    <col min="14600" max="14600" width="2.25" style="568" bestFit="1" customWidth="1"/>
    <col min="14601" max="14601" width="4.375" style="568" bestFit="1" customWidth="1"/>
    <col min="14602" max="14602" width="8.375" style="568" bestFit="1" customWidth="1"/>
    <col min="14603" max="14605" width="8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5" width="7.625" style="568" bestFit="1" customWidth="1"/>
    <col min="14856" max="14856" width="2.25" style="568" bestFit="1" customWidth="1"/>
    <col min="14857" max="14857" width="4.375" style="568" bestFit="1" customWidth="1"/>
    <col min="14858" max="14858" width="8.375" style="568" bestFit="1" customWidth="1"/>
    <col min="14859" max="14861" width="8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1" width="7.625" style="568" bestFit="1" customWidth="1"/>
    <col min="15112" max="15112" width="2.25" style="568" bestFit="1" customWidth="1"/>
    <col min="15113" max="15113" width="4.375" style="568" bestFit="1" customWidth="1"/>
    <col min="15114" max="15114" width="8.375" style="568" bestFit="1" customWidth="1"/>
    <col min="15115" max="15117" width="8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7" width="7.625" style="568" bestFit="1" customWidth="1"/>
    <col min="15368" max="15368" width="2.25" style="568" bestFit="1" customWidth="1"/>
    <col min="15369" max="15369" width="4.375" style="568" bestFit="1" customWidth="1"/>
    <col min="15370" max="15370" width="8.375" style="568" bestFit="1" customWidth="1"/>
    <col min="15371" max="15373" width="8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3" width="7.625" style="568" bestFit="1" customWidth="1"/>
    <col min="15624" max="15624" width="2.25" style="568" bestFit="1" customWidth="1"/>
    <col min="15625" max="15625" width="4.375" style="568" bestFit="1" customWidth="1"/>
    <col min="15626" max="15626" width="8.375" style="568" bestFit="1" customWidth="1"/>
    <col min="15627" max="15629" width="8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79" width="7.625" style="568" bestFit="1" customWidth="1"/>
    <col min="15880" max="15880" width="2.25" style="568" bestFit="1" customWidth="1"/>
    <col min="15881" max="15881" width="4.375" style="568" bestFit="1" customWidth="1"/>
    <col min="15882" max="15882" width="8.375" style="568" bestFit="1" customWidth="1"/>
    <col min="15883" max="15885" width="8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5" width="7.625" style="568" bestFit="1" customWidth="1"/>
    <col min="16136" max="16136" width="2.25" style="568" bestFit="1" customWidth="1"/>
    <col min="16137" max="16137" width="4.375" style="568" bestFit="1" customWidth="1"/>
    <col min="16138" max="16138" width="8.375" style="568" bestFit="1" customWidth="1"/>
    <col min="16139" max="16141" width="8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809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97</v>
      </c>
      <c r="J9" s="567" t="s">
        <v>327</v>
      </c>
      <c r="K9" s="567" t="s">
        <v>1002</v>
      </c>
      <c r="L9" s="567" t="s">
        <v>1003</v>
      </c>
      <c r="M9" s="567" t="s">
        <v>1004</v>
      </c>
      <c r="N9" s="567" t="s">
        <v>1011</v>
      </c>
      <c r="O9" s="567" t="s">
        <v>1012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7.4421296296296291E-2</v>
      </c>
      <c r="E10" s="567">
        <v>51440</v>
      </c>
      <c r="F10" s="567" t="s">
        <v>1001</v>
      </c>
      <c r="G10" s="567" t="s">
        <v>326</v>
      </c>
      <c r="H10" s="567">
        <v>0</v>
      </c>
      <c r="I10" s="567">
        <v>97</v>
      </c>
      <c r="J10" s="567" t="s">
        <v>327</v>
      </c>
      <c r="K10" s="567" t="s">
        <v>1002</v>
      </c>
      <c r="L10" s="567" t="s">
        <v>1003</v>
      </c>
      <c r="M10" s="567" t="s">
        <v>1004</v>
      </c>
      <c r="N10" s="567" t="s">
        <v>1011</v>
      </c>
      <c r="O10" s="567" t="s">
        <v>1012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7.9166666666666663E-2</v>
      </c>
      <c r="E11" s="567">
        <v>3280</v>
      </c>
      <c r="F11" s="567" t="s">
        <v>1001</v>
      </c>
      <c r="G11" s="567" t="s">
        <v>326</v>
      </c>
      <c r="H11" s="567">
        <v>0</v>
      </c>
      <c r="I11" s="567">
        <v>401</v>
      </c>
      <c r="J11" s="567" t="s">
        <v>327</v>
      </c>
      <c r="K11" s="567" t="s">
        <v>1002</v>
      </c>
      <c r="L11" s="567" t="s">
        <v>1003</v>
      </c>
      <c r="M11" s="567" t="s">
        <v>1004</v>
      </c>
      <c r="N11" s="567" t="s">
        <v>1011</v>
      </c>
      <c r="O11" s="567" t="s">
        <v>1012</v>
      </c>
      <c r="P11" s="567" t="s">
        <v>1007</v>
      </c>
      <c r="Q11" s="567" t="s">
        <v>1008</v>
      </c>
      <c r="R11" s="567">
        <v>80</v>
      </c>
    </row>
    <row r="12" spans="1:18" ht="15" x14ac:dyDescent="0.2">
      <c r="A12" s="567"/>
      <c r="B12" s="567"/>
      <c r="C12" s="567"/>
      <c r="D12" s="569">
        <v>0.23583333333333334</v>
      </c>
      <c r="E12" s="567">
        <v>108288</v>
      </c>
      <c r="F12" s="567" t="s">
        <v>1001</v>
      </c>
      <c r="G12" s="567" t="s">
        <v>326</v>
      </c>
      <c r="H12" s="567">
        <v>0</v>
      </c>
      <c r="I12" s="567">
        <v>401</v>
      </c>
      <c r="J12" s="567" t="s">
        <v>327</v>
      </c>
      <c r="K12" s="567" t="s">
        <v>1002</v>
      </c>
      <c r="L12" s="567" t="s">
        <v>1003</v>
      </c>
      <c r="M12" s="567" t="s">
        <v>1004</v>
      </c>
      <c r="N12" s="567" t="s">
        <v>1011</v>
      </c>
      <c r="O12" s="567" t="s">
        <v>1012</v>
      </c>
      <c r="P12" s="567" t="s">
        <v>1009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0.24583333333333335</v>
      </c>
      <c r="E13" s="567">
        <v>6912</v>
      </c>
      <c r="F13" s="567" t="s">
        <v>1001</v>
      </c>
      <c r="G13" s="567" t="s">
        <v>326</v>
      </c>
      <c r="H13" s="567">
        <v>0</v>
      </c>
      <c r="I13" s="567">
        <v>39</v>
      </c>
      <c r="J13" s="567" t="s">
        <v>327</v>
      </c>
      <c r="K13" s="567" t="s">
        <v>1002</v>
      </c>
      <c r="L13" s="567" t="s">
        <v>1003</v>
      </c>
      <c r="M13" s="567" t="s">
        <v>1004</v>
      </c>
      <c r="N13" s="567" t="s">
        <v>1013</v>
      </c>
      <c r="O13" s="567" t="s">
        <v>1014</v>
      </c>
      <c r="P13" s="567" t="s">
        <v>1007</v>
      </c>
      <c r="Q13" s="567" t="s">
        <v>1008</v>
      </c>
      <c r="R13" s="567">
        <v>80</v>
      </c>
    </row>
    <row r="14" spans="1:18" ht="15" x14ac:dyDescent="0.2">
      <c r="A14" s="567"/>
      <c r="B14" s="567"/>
      <c r="C14" s="567"/>
      <c r="D14" s="569">
        <v>0.27847222222222223</v>
      </c>
      <c r="E14" s="567">
        <v>22560</v>
      </c>
      <c r="F14" s="567" t="s">
        <v>1001</v>
      </c>
      <c r="G14" s="567" t="s">
        <v>326</v>
      </c>
      <c r="H14" s="567">
        <v>0</v>
      </c>
      <c r="I14" s="567">
        <v>39</v>
      </c>
      <c r="J14" s="567" t="s">
        <v>327</v>
      </c>
      <c r="K14" s="567" t="s">
        <v>1002</v>
      </c>
      <c r="L14" s="567" t="s">
        <v>1003</v>
      </c>
      <c r="M14" s="567" t="s">
        <v>1004</v>
      </c>
      <c r="N14" s="567" t="s">
        <v>1013</v>
      </c>
      <c r="O14" s="567" t="s">
        <v>1014</v>
      </c>
      <c r="P14" s="567" t="s">
        <v>1009</v>
      </c>
      <c r="Q14" s="567" t="s">
        <v>1008</v>
      </c>
      <c r="R14" s="567">
        <v>80</v>
      </c>
    </row>
    <row r="15" spans="1:18" ht="15" x14ac:dyDescent="0.2">
      <c r="A15" s="567"/>
      <c r="B15" s="567"/>
      <c r="C15" s="567"/>
      <c r="D15" s="569">
        <v>0.28055555555555556</v>
      </c>
      <c r="E15" s="567">
        <v>1440</v>
      </c>
      <c r="F15" s="567" t="s">
        <v>1001</v>
      </c>
      <c r="G15" s="567" t="s">
        <v>326</v>
      </c>
      <c r="H15" s="567">
        <v>0</v>
      </c>
      <c r="I15" s="567">
        <v>39</v>
      </c>
      <c r="J15" s="567" t="s">
        <v>327</v>
      </c>
      <c r="K15" s="567" t="s">
        <v>1002</v>
      </c>
      <c r="L15" s="567" t="s">
        <v>1003</v>
      </c>
      <c r="M15" s="567" t="s">
        <v>1004</v>
      </c>
      <c r="N15" s="567" t="s">
        <v>1011</v>
      </c>
      <c r="O15" s="567" t="s">
        <v>1012</v>
      </c>
      <c r="P15" s="567" t="s">
        <v>1007</v>
      </c>
      <c r="Q15" s="567" t="s">
        <v>1008</v>
      </c>
      <c r="R15" s="567">
        <v>80</v>
      </c>
    </row>
    <row r="16" spans="1:18" ht="15" x14ac:dyDescent="0.2">
      <c r="A16" s="567"/>
      <c r="B16" s="567"/>
      <c r="C16" s="567"/>
      <c r="D16" s="569">
        <v>0.31972222222222224</v>
      </c>
      <c r="E16" s="567">
        <v>27072</v>
      </c>
      <c r="F16" s="567" t="s">
        <v>1001</v>
      </c>
      <c r="G16" s="567" t="s">
        <v>326</v>
      </c>
      <c r="H16" s="567">
        <v>0</v>
      </c>
      <c r="I16" s="567">
        <v>39</v>
      </c>
      <c r="J16" s="567" t="s">
        <v>327</v>
      </c>
      <c r="K16" s="567" t="s">
        <v>1002</v>
      </c>
      <c r="L16" s="567" t="s">
        <v>1003</v>
      </c>
      <c r="M16" s="567" t="s">
        <v>1004</v>
      </c>
      <c r="N16" s="567" t="s">
        <v>1011</v>
      </c>
      <c r="O16" s="567" t="s">
        <v>1012</v>
      </c>
      <c r="P16" s="567" t="s">
        <v>1009</v>
      </c>
      <c r="Q16" s="567" t="s">
        <v>1008</v>
      </c>
      <c r="R16" s="567">
        <v>80</v>
      </c>
    </row>
    <row r="17" spans="1:6" ht="15" x14ac:dyDescent="0.2">
      <c r="A17" s="567"/>
      <c r="B17" s="567"/>
      <c r="C17" s="567"/>
      <c r="D17" s="569">
        <v>0.31972222222222224</v>
      </c>
      <c r="E17" s="567">
        <v>0</v>
      </c>
      <c r="F17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7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7" width="7.625" style="568" bestFit="1" customWidth="1"/>
    <col min="8" max="8" width="2.25" style="568" bestFit="1" customWidth="1"/>
    <col min="9" max="9" width="4.375" style="568" bestFit="1" customWidth="1"/>
    <col min="10" max="10" width="8.375" style="568" bestFit="1" customWidth="1"/>
    <col min="11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3" width="7.625" style="568" bestFit="1" customWidth="1"/>
    <col min="264" max="264" width="2.25" style="568" bestFit="1" customWidth="1"/>
    <col min="265" max="265" width="4.375" style="568" bestFit="1" customWidth="1"/>
    <col min="266" max="266" width="8.375" style="568" bestFit="1" customWidth="1"/>
    <col min="267" max="269" width="8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19" width="7.625" style="568" bestFit="1" customWidth="1"/>
    <col min="520" max="520" width="2.25" style="568" bestFit="1" customWidth="1"/>
    <col min="521" max="521" width="4.375" style="568" bestFit="1" customWidth="1"/>
    <col min="522" max="522" width="8.375" style="568" bestFit="1" customWidth="1"/>
    <col min="523" max="525" width="8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5" width="7.625" style="568" bestFit="1" customWidth="1"/>
    <col min="776" max="776" width="2.25" style="568" bestFit="1" customWidth="1"/>
    <col min="777" max="777" width="4.375" style="568" bestFit="1" customWidth="1"/>
    <col min="778" max="778" width="8.375" style="568" bestFit="1" customWidth="1"/>
    <col min="779" max="781" width="8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1" width="7.625" style="568" bestFit="1" customWidth="1"/>
    <col min="1032" max="1032" width="2.25" style="568" bestFit="1" customWidth="1"/>
    <col min="1033" max="1033" width="4.375" style="568" bestFit="1" customWidth="1"/>
    <col min="1034" max="1034" width="8.375" style="568" bestFit="1" customWidth="1"/>
    <col min="1035" max="1037" width="8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7" width="7.625" style="568" bestFit="1" customWidth="1"/>
    <col min="1288" max="1288" width="2.25" style="568" bestFit="1" customWidth="1"/>
    <col min="1289" max="1289" width="4.375" style="568" bestFit="1" customWidth="1"/>
    <col min="1290" max="1290" width="8.375" style="568" bestFit="1" customWidth="1"/>
    <col min="1291" max="1293" width="8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3" width="7.625" style="568" bestFit="1" customWidth="1"/>
    <col min="1544" max="1544" width="2.25" style="568" bestFit="1" customWidth="1"/>
    <col min="1545" max="1545" width="4.375" style="568" bestFit="1" customWidth="1"/>
    <col min="1546" max="1546" width="8.375" style="568" bestFit="1" customWidth="1"/>
    <col min="1547" max="1549" width="8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799" width="7.625" style="568" bestFit="1" customWidth="1"/>
    <col min="1800" max="1800" width="2.25" style="568" bestFit="1" customWidth="1"/>
    <col min="1801" max="1801" width="4.375" style="568" bestFit="1" customWidth="1"/>
    <col min="1802" max="1802" width="8.375" style="568" bestFit="1" customWidth="1"/>
    <col min="1803" max="1805" width="8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5" width="7.625" style="568" bestFit="1" customWidth="1"/>
    <col min="2056" max="2056" width="2.25" style="568" bestFit="1" customWidth="1"/>
    <col min="2057" max="2057" width="4.375" style="568" bestFit="1" customWidth="1"/>
    <col min="2058" max="2058" width="8.375" style="568" bestFit="1" customWidth="1"/>
    <col min="2059" max="2061" width="8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1" width="7.625" style="568" bestFit="1" customWidth="1"/>
    <col min="2312" max="2312" width="2.25" style="568" bestFit="1" customWidth="1"/>
    <col min="2313" max="2313" width="4.375" style="568" bestFit="1" customWidth="1"/>
    <col min="2314" max="2314" width="8.375" style="568" bestFit="1" customWidth="1"/>
    <col min="2315" max="2317" width="8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7" width="7.625" style="568" bestFit="1" customWidth="1"/>
    <col min="2568" max="2568" width="2.25" style="568" bestFit="1" customWidth="1"/>
    <col min="2569" max="2569" width="4.375" style="568" bestFit="1" customWidth="1"/>
    <col min="2570" max="2570" width="8.375" style="568" bestFit="1" customWidth="1"/>
    <col min="2571" max="2573" width="8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3" width="7.625" style="568" bestFit="1" customWidth="1"/>
    <col min="2824" max="2824" width="2.25" style="568" bestFit="1" customWidth="1"/>
    <col min="2825" max="2825" width="4.375" style="568" bestFit="1" customWidth="1"/>
    <col min="2826" max="2826" width="8.375" style="568" bestFit="1" customWidth="1"/>
    <col min="2827" max="2829" width="8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79" width="7.625" style="568" bestFit="1" customWidth="1"/>
    <col min="3080" max="3080" width="2.25" style="568" bestFit="1" customWidth="1"/>
    <col min="3081" max="3081" width="4.375" style="568" bestFit="1" customWidth="1"/>
    <col min="3082" max="3082" width="8.375" style="568" bestFit="1" customWidth="1"/>
    <col min="3083" max="3085" width="8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5" width="7.625" style="568" bestFit="1" customWidth="1"/>
    <col min="3336" max="3336" width="2.25" style="568" bestFit="1" customWidth="1"/>
    <col min="3337" max="3337" width="4.375" style="568" bestFit="1" customWidth="1"/>
    <col min="3338" max="3338" width="8.375" style="568" bestFit="1" customWidth="1"/>
    <col min="3339" max="3341" width="8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1" width="7.625" style="568" bestFit="1" customWidth="1"/>
    <col min="3592" max="3592" width="2.25" style="568" bestFit="1" customWidth="1"/>
    <col min="3593" max="3593" width="4.375" style="568" bestFit="1" customWidth="1"/>
    <col min="3594" max="3594" width="8.375" style="568" bestFit="1" customWidth="1"/>
    <col min="3595" max="3597" width="8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7" width="7.625" style="568" bestFit="1" customWidth="1"/>
    <col min="3848" max="3848" width="2.25" style="568" bestFit="1" customWidth="1"/>
    <col min="3849" max="3849" width="4.375" style="568" bestFit="1" customWidth="1"/>
    <col min="3850" max="3850" width="8.375" style="568" bestFit="1" customWidth="1"/>
    <col min="3851" max="3853" width="8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3" width="7.625" style="568" bestFit="1" customWidth="1"/>
    <col min="4104" max="4104" width="2.25" style="568" bestFit="1" customWidth="1"/>
    <col min="4105" max="4105" width="4.375" style="568" bestFit="1" customWidth="1"/>
    <col min="4106" max="4106" width="8.375" style="568" bestFit="1" customWidth="1"/>
    <col min="4107" max="4109" width="8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59" width="7.625" style="568" bestFit="1" customWidth="1"/>
    <col min="4360" max="4360" width="2.25" style="568" bestFit="1" customWidth="1"/>
    <col min="4361" max="4361" width="4.375" style="568" bestFit="1" customWidth="1"/>
    <col min="4362" max="4362" width="8.375" style="568" bestFit="1" customWidth="1"/>
    <col min="4363" max="4365" width="8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5" width="7.625" style="568" bestFit="1" customWidth="1"/>
    <col min="4616" max="4616" width="2.25" style="568" bestFit="1" customWidth="1"/>
    <col min="4617" max="4617" width="4.375" style="568" bestFit="1" customWidth="1"/>
    <col min="4618" max="4618" width="8.375" style="568" bestFit="1" customWidth="1"/>
    <col min="4619" max="4621" width="8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1" width="7.625" style="568" bestFit="1" customWidth="1"/>
    <col min="4872" max="4872" width="2.25" style="568" bestFit="1" customWidth="1"/>
    <col min="4873" max="4873" width="4.375" style="568" bestFit="1" customWidth="1"/>
    <col min="4874" max="4874" width="8.375" style="568" bestFit="1" customWidth="1"/>
    <col min="4875" max="4877" width="8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7" width="7.625" style="568" bestFit="1" customWidth="1"/>
    <col min="5128" max="5128" width="2.25" style="568" bestFit="1" customWidth="1"/>
    <col min="5129" max="5129" width="4.375" style="568" bestFit="1" customWidth="1"/>
    <col min="5130" max="5130" width="8.375" style="568" bestFit="1" customWidth="1"/>
    <col min="5131" max="5133" width="8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3" width="7.625" style="568" bestFit="1" customWidth="1"/>
    <col min="5384" max="5384" width="2.25" style="568" bestFit="1" customWidth="1"/>
    <col min="5385" max="5385" width="4.375" style="568" bestFit="1" customWidth="1"/>
    <col min="5386" max="5386" width="8.375" style="568" bestFit="1" customWidth="1"/>
    <col min="5387" max="5389" width="8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39" width="7.625" style="568" bestFit="1" customWidth="1"/>
    <col min="5640" max="5640" width="2.25" style="568" bestFit="1" customWidth="1"/>
    <col min="5641" max="5641" width="4.375" style="568" bestFit="1" customWidth="1"/>
    <col min="5642" max="5642" width="8.375" style="568" bestFit="1" customWidth="1"/>
    <col min="5643" max="5645" width="8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5" width="7.625" style="568" bestFit="1" customWidth="1"/>
    <col min="5896" max="5896" width="2.25" style="568" bestFit="1" customWidth="1"/>
    <col min="5897" max="5897" width="4.375" style="568" bestFit="1" customWidth="1"/>
    <col min="5898" max="5898" width="8.375" style="568" bestFit="1" customWidth="1"/>
    <col min="5899" max="5901" width="8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1" width="7.625" style="568" bestFit="1" customWidth="1"/>
    <col min="6152" max="6152" width="2.25" style="568" bestFit="1" customWidth="1"/>
    <col min="6153" max="6153" width="4.375" style="568" bestFit="1" customWidth="1"/>
    <col min="6154" max="6154" width="8.375" style="568" bestFit="1" customWidth="1"/>
    <col min="6155" max="6157" width="8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7" width="7.625" style="568" bestFit="1" customWidth="1"/>
    <col min="6408" max="6408" width="2.25" style="568" bestFit="1" customWidth="1"/>
    <col min="6409" max="6409" width="4.375" style="568" bestFit="1" customWidth="1"/>
    <col min="6410" max="6410" width="8.375" style="568" bestFit="1" customWidth="1"/>
    <col min="6411" max="6413" width="8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3" width="7.625" style="568" bestFit="1" customWidth="1"/>
    <col min="6664" max="6664" width="2.25" style="568" bestFit="1" customWidth="1"/>
    <col min="6665" max="6665" width="4.375" style="568" bestFit="1" customWidth="1"/>
    <col min="6666" max="6666" width="8.375" style="568" bestFit="1" customWidth="1"/>
    <col min="6667" max="6669" width="8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19" width="7.625" style="568" bestFit="1" customWidth="1"/>
    <col min="6920" max="6920" width="2.25" style="568" bestFit="1" customWidth="1"/>
    <col min="6921" max="6921" width="4.375" style="568" bestFit="1" customWidth="1"/>
    <col min="6922" max="6922" width="8.375" style="568" bestFit="1" customWidth="1"/>
    <col min="6923" max="6925" width="8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5" width="7.625" style="568" bestFit="1" customWidth="1"/>
    <col min="7176" max="7176" width="2.25" style="568" bestFit="1" customWidth="1"/>
    <col min="7177" max="7177" width="4.375" style="568" bestFit="1" customWidth="1"/>
    <col min="7178" max="7178" width="8.375" style="568" bestFit="1" customWidth="1"/>
    <col min="7179" max="7181" width="8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1" width="7.625" style="568" bestFit="1" customWidth="1"/>
    <col min="7432" max="7432" width="2.25" style="568" bestFit="1" customWidth="1"/>
    <col min="7433" max="7433" width="4.375" style="568" bestFit="1" customWidth="1"/>
    <col min="7434" max="7434" width="8.375" style="568" bestFit="1" customWidth="1"/>
    <col min="7435" max="7437" width="8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7" width="7.625" style="568" bestFit="1" customWidth="1"/>
    <col min="7688" max="7688" width="2.25" style="568" bestFit="1" customWidth="1"/>
    <col min="7689" max="7689" width="4.375" style="568" bestFit="1" customWidth="1"/>
    <col min="7690" max="7690" width="8.375" style="568" bestFit="1" customWidth="1"/>
    <col min="7691" max="7693" width="8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3" width="7.625" style="568" bestFit="1" customWidth="1"/>
    <col min="7944" max="7944" width="2.25" style="568" bestFit="1" customWidth="1"/>
    <col min="7945" max="7945" width="4.375" style="568" bestFit="1" customWidth="1"/>
    <col min="7946" max="7946" width="8.375" style="568" bestFit="1" customWidth="1"/>
    <col min="7947" max="7949" width="8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199" width="7.625" style="568" bestFit="1" customWidth="1"/>
    <col min="8200" max="8200" width="2.25" style="568" bestFit="1" customWidth="1"/>
    <col min="8201" max="8201" width="4.375" style="568" bestFit="1" customWidth="1"/>
    <col min="8202" max="8202" width="8.375" style="568" bestFit="1" customWidth="1"/>
    <col min="8203" max="8205" width="8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5" width="7.625" style="568" bestFit="1" customWidth="1"/>
    <col min="8456" max="8456" width="2.25" style="568" bestFit="1" customWidth="1"/>
    <col min="8457" max="8457" width="4.375" style="568" bestFit="1" customWidth="1"/>
    <col min="8458" max="8458" width="8.375" style="568" bestFit="1" customWidth="1"/>
    <col min="8459" max="8461" width="8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1" width="7.625" style="568" bestFit="1" customWidth="1"/>
    <col min="8712" max="8712" width="2.25" style="568" bestFit="1" customWidth="1"/>
    <col min="8713" max="8713" width="4.375" style="568" bestFit="1" customWidth="1"/>
    <col min="8714" max="8714" width="8.375" style="568" bestFit="1" customWidth="1"/>
    <col min="8715" max="8717" width="8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7" width="7.625" style="568" bestFit="1" customWidth="1"/>
    <col min="8968" max="8968" width="2.25" style="568" bestFit="1" customWidth="1"/>
    <col min="8969" max="8969" width="4.375" style="568" bestFit="1" customWidth="1"/>
    <col min="8970" max="8970" width="8.375" style="568" bestFit="1" customWidth="1"/>
    <col min="8971" max="8973" width="8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3" width="7.625" style="568" bestFit="1" customWidth="1"/>
    <col min="9224" max="9224" width="2.25" style="568" bestFit="1" customWidth="1"/>
    <col min="9225" max="9225" width="4.375" style="568" bestFit="1" customWidth="1"/>
    <col min="9226" max="9226" width="8.375" style="568" bestFit="1" customWidth="1"/>
    <col min="9227" max="9229" width="8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79" width="7.625" style="568" bestFit="1" customWidth="1"/>
    <col min="9480" max="9480" width="2.25" style="568" bestFit="1" customWidth="1"/>
    <col min="9481" max="9481" width="4.375" style="568" bestFit="1" customWidth="1"/>
    <col min="9482" max="9482" width="8.375" style="568" bestFit="1" customWidth="1"/>
    <col min="9483" max="9485" width="8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5" width="7.625" style="568" bestFit="1" customWidth="1"/>
    <col min="9736" max="9736" width="2.25" style="568" bestFit="1" customWidth="1"/>
    <col min="9737" max="9737" width="4.375" style="568" bestFit="1" customWidth="1"/>
    <col min="9738" max="9738" width="8.375" style="568" bestFit="1" customWidth="1"/>
    <col min="9739" max="9741" width="8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1" width="7.625" style="568" bestFit="1" customWidth="1"/>
    <col min="9992" max="9992" width="2.25" style="568" bestFit="1" customWidth="1"/>
    <col min="9993" max="9993" width="4.375" style="568" bestFit="1" customWidth="1"/>
    <col min="9994" max="9994" width="8.375" style="568" bestFit="1" customWidth="1"/>
    <col min="9995" max="9997" width="8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7" width="7.625" style="568" bestFit="1" customWidth="1"/>
    <col min="10248" max="10248" width="2.25" style="568" bestFit="1" customWidth="1"/>
    <col min="10249" max="10249" width="4.375" style="568" bestFit="1" customWidth="1"/>
    <col min="10250" max="10250" width="8.375" style="568" bestFit="1" customWidth="1"/>
    <col min="10251" max="10253" width="8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3" width="7.625" style="568" bestFit="1" customWidth="1"/>
    <col min="10504" max="10504" width="2.25" style="568" bestFit="1" customWidth="1"/>
    <col min="10505" max="10505" width="4.375" style="568" bestFit="1" customWidth="1"/>
    <col min="10506" max="10506" width="8.375" style="568" bestFit="1" customWidth="1"/>
    <col min="10507" max="10509" width="8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59" width="7.625" style="568" bestFit="1" customWidth="1"/>
    <col min="10760" max="10760" width="2.25" style="568" bestFit="1" customWidth="1"/>
    <col min="10761" max="10761" width="4.375" style="568" bestFit="1" customWidth="1"/>
    <col min="10762" max="10762" width="8.375" style="568" bestFit="1" customWidth="1"/>
    <col min="10763" max="10765" width="8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5" width="7.625" style="568" bestFit="1" customWidth="1"/>
    <col min="11016" max="11016" width="2.25" style="568" bestFit="1" customWidth="1"/>
    <col min="11017" max="11017" width="4.375" style="568" bestFit="1" customWidth="1"/>
    <col min="11018" max="11018" width="8.375" style="568" bestFit="1" customWidth="1"/>
    <col min="11019" max="11021" width="8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1" width="7.625" style="568" bestFit="1" customWidth="1"/>
    <col min="11272" max="11272" width="2.25" style="568" bestFit="1" customWidth="1"/>
    <col min="11273" max="11273" width="4.375" style="568" bestFit="1" customWidth="1"/>
    <col min="11274" max="11274" width="8.375" style="568" bestFit="1" customWidth="1"/>
    <col min="11275" max="11277" width="8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7" width="7.625" style="568" bestFit="1" customWidth="1"/>
    <col min="11528" max="11528" width="2.25" style="568" bestFit="1" customWidth="1"/>
    <col min="11529" max="11529" width="4.375" style="568" bestFit="1" customWidth="1"/>
    <col min="11530" max="11530" width="8.375" style="568" bestFit="1" customWidth="1"/>
    <col min="11531" max="11533" width="8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3" width="7.625" style="568" bestFit="1" customWidth="1"/>
    <col min="11784" max="11784" width="2.25" style="568" bestFit="1" customWidth="1"/>
    <col min="11785" max="11785" width="4.375" style="568" bestFit="1" customWidth="1"/>
    <col min="11786" max="11786" width="8.375" style="568" bestFit="1" customWidth="1"/>
    <col min="11787" max="11789" width="8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39" width="7.625" style="568" bestFit="1" customWidth="1"/>
    <col min="12040" max="12040" width="2.25" style="568" bestFit="1" customWidth="1"/>
    <col min="12041" max="12041" width="4.375" style="568" bestFit="1" customWidth="1"/>
    <col min="12042" max="12042" width="8.375" style="568" bestFit="1" customWidth="1"/>
    <col min="12043" max="12045" width="8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5" width="7.625" style="568" bestFit="1" customWidth="1"/>
    <col min="12296" max="12296" width="2.25" style="568" bestFit="1" customWidth="1"/>
    <col min="12297" max="12297" width="4.375" style="568" bestFit="1" customWidth="1"/>
    <col min="12298" max="12298" width="8.375" style="568" bestFit="1" customWidth="1"/>
    <col min="12299" max="12301" width="8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1" width="7.625" style="568" bestFit="1" customWidth="1"/>
    <col min="12552" max="12552" width="2.25" style="568" bestFit="1" customWidth="1"/>
    <col min="12553" max="12553" width="4.375" style="568" bestFit="1" customWidth="1"/>
    <col min="12554" max="12554" width="8.375" style="568" bestFit="1" customWidth="1"/>
    <col min="12555" max="12557" width="8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7" width="7.625" style="568" bestFit="1" customWidth="1"/>
    <col min="12808" max="12808" width="2.25" style="568" bestFit="1" customWidth="1"/>
    <col min="12809" max="12809" width="4.375" style="568" bestFit="1" customWidth="1"/>
    <col min="12810" max="12810" width="8.375" style="568" bestFit="1" customWidth="1"/>
    <col min="12811" max="12813" width="8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3" width="7.625" style="568" bestFit="1" customWidth="1"/>
    <col min="13064" max="13064" width="2.25" style="568" bestFit="1" customWidth="1"/>
    <col min="13065" max="13065" width="4.375" style="568" bestFit="1" customWidth="1"/>
    <col min="13066" max="13066" width="8.375" style="568" bestFit="1" customWidth="1"/>
    <col min="13067" max="13069" width="8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19" width="7.625" style="568" bestFit="1" customWidth="1"/>
    <col min="13320" max="13320" width="2.25" style="568" bestFit="1" customWidth="1"/>
    <col min="13321" max="13321" width="4.375" style="568" bestFit="1" customWidth="1"/>
    <col min="13322" max="13322" width="8.375" style="568" bestFit="1" customWidth="1"/>
    <col min="13323" max="13325" width="8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5" width="7.625" style="568" bestFit="1" customWidth="1"/>
    <col min="13576" max="13576" width="2.25" style="568" bestFit="1" customWidth="1"/>
    <col min="13577" max="13577" width="4.375" style="568" bestFit="1" customWidth="1"/>
    <col min="13578" max="13578" width="8.375" style="568" bestFit="1" customWidth="1"/>
    <col min="13579" max="13581" width="8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1" width="7.625" style="568" bestFit="1" customWidth="1"/>
    <col min="13832" max="13832" width="2.25" style="568" bestFit="1" customWidth="1"/>
    <col min="13833" max="13833" width="4.375" style="568" bestFit="1" customWidth="1"/>
    <col min="13834" max="13834" width="8.375" style="568" bestFit="1" customWidth="1"/>
    <col min="13835" max="13837" width="8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7" width="7.625" style="568" bestFit="1" customWidth="1"/>
    <col min="14088" max="14088" width="2.25" style="568" bestFit="1" customWidth="1"/>
    <col min="14089" max="14089" width="4.375" style="568" bestFit="1" customWidth="1"/>
    <col min="14090" max="14090" width="8.375" style="568" bestFit="1" customWidth="1"/>
    <col min="14091" max="14093" width="8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3" width="7.625" style="568" bestFit="1" customWidth="1"/>
    <col min="14344" max="14344" width="2.25" style="568" bestFit="1" customWidth="1"/>
    <col min="14345" max="14345" width="4.375" style="568" bestFit="1" customWidth="1"/>
    <col min="14346" max="14346" width="8.375" style="568" bestFit="1" customWidth="1"/>
    <col min="14347" max="14349" width="8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599" width="7.625" style="568" bestFit="1" customWidth="1"/>
    <col min="14600" max="14600" width="2.25" style="568" bestFit="1" customWidth="1"/>
    <col min="14601" max="14601" width="4.375" style="568" bestFit="1" customWidth="1"/>
    <col min="14602" max="14602" width="8.375" style="568" bestFit="1" customWidth="1"/>
    <col min="14603" max="14605" width="8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5" width="7.625" style="568" bestFit="1" customWidth="1"/>
    <col min="14856" max="14856" width="2.25" style="568" bestFit="1" customWidth="1"/>
    <col min="14857" max="14857" width="4.375" style="568" bestFit="1" customWidth="1"/>
    <col min="14858" max="14858" width="8.375" style="568" bestFit="1" customWidth="1"/>
    <col min="14859" max="14861" width="8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1" width="7.625" style="568" bestFit="1" customWidth="1"/>
    <col min="15112" max="15112" width="2.25" style="568" bestFit="1" customWidth="1"/>
    <col min="15113" max="15113" width="4.375" style="568" bestFit="1" customWidth="1"/>
    <col min="15114" max="15114" width="8.375" style="568" bestFit="1" customWidth="1"/>
    <col min="15115" max="15117" width="8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7" width="7.625" style="568" bestFit="1" customWidth="1"/>
    <col min="15368" max="15368" width="2.25" style="568" bestFit="1" customWidth="1"/>
    <col min="15369" max="15369" width="4.375" style="568" bestFit="1" customWidth="1"/>
    <col min="15370" max="15370" width="8.375" style="568" bestFit="1" customWidth="1"/>
    <col min="15371" max="15373" width="8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3" width="7.625" style="568" bestFit="1" customWidth="1"/>
    <col min="15624" max="15624" width="2.25" style="568" bestFit="1" customWidth="1"/>
    <col min="15625" max="15625" width="4.375" style="568" bestFit="1" customWidth="1"/>
    <col min="15626" max="15626" width="8.375" style="568" bestFit="1" customWidth="1"/>
    <col min="15627" max="15629" width="8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79" width="7.625" style="568" bestFit="1" customWidth="1"/>
    <col min="15880" max="15880" width="2.25" style="568" bestFit="1" customWidth="1"/>
    <col min="15881" max="15881" width="4.375" style="568" bestFit="1" customWidth="1"/>
    <col min="15882" max="15882" width="8.375" style="568" bestFit="1" customWidth="1"/>
    <col min="15883" max="15885" width="8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5" width="7.625" style="568" bestFit="1" customWidth="1"/>
    <col min="16136" max="16136" width="2.25" style="568" bestFit="1" customWidth="1"/>
    <col min="16137" max="16137" width="4.375" style="568" bestFit="1" customWidth="1"/>
    <col min="16138" max="16138" width="8.375" style="568" bestFit="1" customWidth="1"/>
    <col min="16139" max="16141" width="8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820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97</v>
      </c>
      <c r="J9" s="567" t="s">
        <v>327</v>
      </c>
      <c r="K9" s="567" t="s">
        <v>1002</v>
      </c>
      <c r="L9" s="567" t="s">
        <v>1003</v>
      </c>
      <c r="M9" s="567" t="s">
        <v>1004</v>
      </c>
      <c r="N9" s="567" t="s">
        <v>1011</v>
      </c>
      <c r="O9" s="567" t="s">
        <v>1012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5.1574074074074078E-2</v>
      </c>
      <c r="E10" s="567">
        <v>35648</v>
      </c>
      <c r="F10" s="567" t="s">
        <v>1001</v>
      </c>
      <c r="G10" s="567" t="s">
        <v>326</v>
      </c>
      <c r="H10" s="567">
        <v>0</v>
      </c>
      <c r="I10" s="567">
        <v>97</v>
      </c>
      <c r="J10" s="567" t="s">
        <v>327</v>
      </c>
      <c r="K10" s="567" t="s">
        <v>1002</v>
      </c>
      <c r="L10" s="567" t="s">
        <v>1003</v>
      </c>
      <c r="M10" s="567" t="s">
        <v>1004</v>
      </c>
      <c r="N10" s="567" t="s">
        <v>1011</v>
      </c>
      <c r="O10" s="567" t="s">
        <v>1012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5.486111111111111E-2</v>
      </c>
      <c r="E11" s="567">
        <v>2272</v>
      </c>
      <c r="F11" s="567" t="s">
        <v>1001</v>
      </c>
      <c r="G11" s="567" t="s">
        <v>326</v>
      </c>
      <c r="H11" s="567">
        <v>0</v>
      </c>
      <c r="I11" s="567">
        <v>401</v>
      </c>
      <c r="J11" s="567" t="s">
        <v>327</v>
      </c>
      <c r="K11" s="567" t="s">
        <v>1002</v>
      </c>
      <c r="L11" s="567" t="s">
        <v>1003</v>
      </c>
      <c r="M11" s="567" t="s">
        <v>1004</v>
      </c>
      <c r="N11" s="567" t="s">
        <v>1011</v>
      </c>
      <c r="O11" s="567" t="s">
        <v>1012</v>
      </c>
      <c r="P11" s="567" t="s">
        <v>1007</v>
      </c>
      <c r="Q11" s="567" t="s">
        <v>1008</v>
      </c>
      <c r="R11" s="567">
        <v>80</v>
      </c>
    </row>
    <row r="12" spans="1:18" ht="15" x14ac:dyDescent="0.2">
      <c r="A12" s="567"/>
      <c r="B12" s="567"/>
      <c r="C12" s="567"/>
      <c r="D12" s="569">
        <v>0.21152777777777776</v>
      </c>
      <c r="E12" s="567">
        <v>108288</v>
      </c>
      <c r="F12" s="567" t="s">
        <v>1001</v>
      </c>
      <c r="G12" s="567" t="s">
        <v>326</v>
      </c>
      <c r="H12" s="567">
        <v>0</v>
      </c>
      <c r="I12" s="567">
        <v>401</v>
      </c>
      <c r="J12" s="567" t="s">
        <v>327</v>
      </c>
      <c r="K12" s="567" t="s">
        <v>1002</v>
      </c>
      <c r="L12" s="567" t="s">
        <v>1003</v>
      </c>
      <c r="M12" s="567" t="s">
        <v>1004</v>
      </c>
      <c r="N12" s="567" t="s">
        <v>1011</v>
      </c>
      <c r="O12" s="567" t="s">
        <v>1012</v>
      </c>
      <c r="P12" s="567" t="s">
        <v>1009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0.22152777777777777</v>
      </c>
      <c r="E13" s="567">
        <v>6912</v>
      </c>
      <c r="F13" s="567" t="s">
        <v>1001</v>
      </c>
      <c r="G13" s="567" t="s">
        <v>326</v>
      </c>
      <c r="H13" s="567">
        <v>0</v>
      </c>
      <c r="I13" s="567">
        <v>97</v>
      </c>
      <c r="J13" s="567" t="s">
        <v>327</v>
      </c>
      <c r="K13" s="567" t="s">
        <v>1002</v>
      </c>
      <c r="L13" s="567" t="s">
        <v>1003</v>
      </c>
      <c r="M13" s="567" t="s">
        <v>1004</v>
      </c>
      <c r="N13" s="567" t="s">
        <v>1013</v>
      </c>
      <c r="O13" s="567" t="s">
        <v>1014</v>
      </c>
      <c r="P13" s="567" t="s">
        <v>1007</v>
      </c>
      <c r="Q13" s="567" t="s">
        <v>1008</v>
      </c>
      <c r="R13" s="567">
        <v>80</v>
      </c>
    </row>
    <row r="14" spans="1:18" ht="15" x14ac:dyDescent="0.2">
      <c r="A14" s="567"/>
      <c r="B14" s="567"/>
      <c r="C14" s="567"/>
      <c r="D14" s="569">
        <v>0.29986111111111108</v>
      </c>
      <c r="E14" s="567">
        <v>54144</v>
      </c>
      <c r="F14" s="567" t="s">
        <v>1001</v>
      </c>
      <c r="G14" s="567" t="s">
        <v>326</v>
      </c>
      <c r="H14" s="567">
        <v>0</v>
      </c>
      <c r="I14" s="567">
        <v>97</v>
      </c>
      <c r="J14" s="567" t="s">
        <v>327</v>
      </c>
      <c r="K14" s="567" t="s">
        <v>1002</v>
      </c>
      <c r="L14" s="567" t="s">
        <v>1003</v>
      </c>
      <c r="M14" s="567" t="s">
        <v>1004</v>
      </c>
      <c r="N14" s="567" t="s">
        <v>1013</v>
      </c>
      <c r="O14" s="567" t="s">
        <v>1014</v>
      </c>
      <c r="P14" s="567" t="s">
        <v>1009</v>
      </c>
      <c r="Q14" s="567" t="s">
        <v>1008</v>
      </c>
      <c r="R14" s="567">
        <v>80</v>
      </c>
    </row>
    <row r="15" spans="1:18" ht="15" x14ac:dyDescent="0.2">
      <c r="A15" s="567"/>
      <c r="B15" s="567"/>
      <c r="C15" s="567"/>
      <c r="D15" s="569">
        <v>0.30486111111111108</v>
      </c>
      <c r="E15" s="567">
        <v>3456</v>
      </c>
      <c r="F15" s="567" t="s">
        <v>1001</v>
      </c>
      <c r="G15" s="567" t="s">
        <v>326</v>
      </c>
      <c r="H15" s="567">
        <v>0</v>
      </c>
      <c r="I15" s="567">
        <v>39</v>
      </c>
      <c r="J15" s="567" t="s">
        <v>327</v>
      </c>
      <c r="K15" s="567" t="s">
        <v>1002</v>
      </c>
      <c r="L15" s="567" t="s">
        <v>1003</v>
      </c>
      <c r="M15" s="567" t="s">
        <v>1004</v>
      </c>
      <c r="N15" s="567" t="s">
        <v>1013</v>
      </c>
      <c r="O15" s="567" t="s">
        <v>1014</v>
      </c>
      <c r="P15" s="567" t="s">
        <v>1007</v>
      </c>
      <c r="Q15" s="567" t="s">
        <v>1008</v>
      </c>
      <c r="R15" s="567">
        <v>80</v>
      </c>
    </row>
    <row r="16" spans="1:18" ht="15" x14ac:dyDescent="0.2">
      <c r="A16" s="567"/>
      <c r="B16" s="567"/>
      <c r="C16" s="567"/>
      <c r="D16" s="569">
        <v>0.34402777777777777</v>
      </c>
      <c r="E16" s="567">
        <v>27072</v>
      </c>
      <c r="F16" s="567" t="s">
        <v>1001</v>
      </c>
      <c r="G16" s="567" t="s">
        <v>326</v>
      </c>
      <c r="H16" s="567">
        <v>0</v>
      </c>
      <c r="I16" s="567">
        <v>39</v>
      </c>
      <c r="J16" s="567" t="s">
        <v>327</v>
      </c>
      <c r="K16" s="567" t="s">
        <v>1002</v>
      </c>
      <c r="L16" s="567" t="s">
        <v>1003</v>
      </c>
      <c r="M16" s="567" t="s">
        <v>1004</v>
      </c>
      <c r="N16" s="567" t="s">
        <v>1013</v>
      </c>
      <c r="O16" s="567" t="s">
        <v>1014</v>
      </c>
      <c r="P16" s="567" t="s">
        <v>1009</v>
      </c>
      <c r="Q16" s="567" t="s">
        <v>1008</v>
      </c>
      <c r="R16" s="567">
        <v>80</v>
      </c>
    </row>
    <row r="17" spans="1:6" ht="15" x14ac:dyDescent="0.2">
      <c r="A17" s="567"/>
      <c r="B17" s="567"/>
      <c r="C17" s="567"/>
      <c r="D17" s="569">
        <v>0.34402777777777777</v>
      </c>
      <c r="E17" s="567">
        <v>0</v>
      </c>
      <c r="F17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7" width="7.625" style="568" bestFit="1" customWidth="1"/>
    <col min="8" max="8" width="2.25" style="568" bestFit="1" customWidth="1"/>
    <col min="9" max="9" width="4.375" style="568" bestFit="1" customWidth="1"/>
    <col min="10" max="10" width="8.375" style="568" bestFit="1" customWidth="1"/>
    <col min="11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3" width="7.625" style="568" bestFit="1" customWidth="1"/>
    <col min="264" max="264" width="2.25" style="568" bestFit="1" customWidth="1"/>
    <col min="265" max="265" width="4.375" style="568" bestFit="1" customWidth="1"/>
    <col min="266" max="266" width="8.375" style="568" bestFit="1" customWidth="1"/>
    <col min="267" max="269" width="8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19" width="7.625" style="568" bestFit="1" customWidth="1"/>
    <col min="520" max="520" width="2.25" style="568" bestFit="1" customWidth="1"/>
    <col min="521" max="521" width="4.375" style="568" bestFit="1" customWidth="1"/>
    <col min="522" max="522" width="8.375" style="568" bestFit="1" customWidth="1"/>
    <col min="523" max="525" width="8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5" width="7.625" style="568" bestFit="1" customWidth="1"/>
    <col min="776" max="776" width="2.25" style="568" bestFit="1" customWidth="1"/>
    <col min="777" max="777" width="4.375" style="568" bestFit="1" customWidth="1"/>
    <col min="778" max="778" width="8.375" style="568" bestFit="1" customWidth="1"/>
    <col min="779" max="781" width="8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1" width="7.625" style="568" bestFit="1" customWidth="1"/>
    <col min="1032" max="1032" width="2.25" style="568" bestFit="1" customWidth="1"/>
    <col min="1033" max="1033" width="4.375" style="568" bestFit="1" customWidth="1"/>
    <col min="1034" max="1034" width="8.375" style="568" bestFit="1" customWidth="1"/>
    <col min="1035" max="1037" width="8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7" width="7.625" style="568" bestFit="1" customWidth="1"/>
    <col min="1288" max="1288" width="2.25" style="568" bestFit="1" customWidth="1"/>
    <col min="1289" max="1289" width="4.375" style="568" bestFit="1" customWidth="1"/>
    <col min="1290" max="1290" width="8.375" style="568" bestFit="1" customWidth="1"/>
    <col min="1291" max="1293" width="8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3" width="7.625" style="568" bestFit="1" customWidth="1"/>
    <col min="1544" max="1544" width="2.25" style="568" bestFit="1" customWidth="1"/>
    <col min="1545" max="1545" width="4.375" style="568" bestFit="1" customWidth="1"/>
    <col min="1546" max="1546" width="8.375" style="568" bestFit="1" customWidth="1"/>
    <col min="1547" max="1549" width="8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799" width="7.625" style="568" bestFit="1" customWidth="1"/>
    <col min="1800" max="1800" width="2.25" style="568" bestFit="1" customWidth="1"/>
    <col min="1801" max="1801" width="4.375" style="568" bestFit="1" customWidth="1"/>
    <col min="1802" max="1802" width="8.375" style="568" bestFit="1" customWidth="1"/>
    <col min="1803" max="1805" width="8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5" width="7.625" style="568" bestFit="1" customWidth="1"/>
    <col min="2056" max="2056" width="2.25" style="568" bestFit="1" customWidth="1"/>
    <col min="2057" max="2057" width="4.375" style="568" bestFit="1" customWidth="1"/>
    <col min="2058" max="2058" width="8.375" style="568" bestFit="1" customWidth="1"/>
    <col min="2059" max="2061" width="8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1" width="7.625" style="568" bestFit="1" customWidth="1"/>
    <col min="2312" max="2312" width="2.25" style="568" bestFit="1" customWidth="1"/>
    <col min="2313" max="2313" width="4.375" style="568" bestFit="1" customWidth="1"/>
    <col min="2314" max="2314" width="8.375" style="568" bestFit="1" customWidth="1"/>
    <col min="2315" max="2317" width="8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7" width="7.625" style="568" bestFit="1" customWidth="1"/>
    <col min="2568" max="2568" width="2.25" style="568" bestFit="1" customWidth="1"/>
    <col min="2569" max="2569" width="4.375" style="568" bestFit="1" customWidth="1"/>
    <col min="2570" max="2570" width="8.375" style="568" bestFit="1" customWidth="1"/>
    <col min="2571" max="2573" width="8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3" width="7.625" style="568" bestFit="1" customWidth="1"/>
    <col min="2824" max="2824" width="2.25" style="568" bestFit="1" customWidth="1"/>
    <col min="2825" max="2825" width="4.375" style="568" bestFit="1" customWidth="1"/>
    <col min="2826" max="2826" width="8.375" style="568" bestFit="1" customWidth="1"/>
    <col min="2827" max="2829" width="8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79" width="7.625" style="568" bestFit="1" customWidth="1"/>
    <col min="3080" max="3080" width="2.25" style="568" bestFit="1" customWidth="1"/>
    <col min="3081" max="3081" width="4.375" style="568" bestFit="1" customWidth="1"/>
    <col min="3082" max="3082" width="8.375" style="568" bestFit="1" customWidth="1"/>
    <col min="3083" max="3085" width="8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5" width="7.625" style="568" bestFit="1" customWidth="1"/>
    <col min="3336" max="3336" width="2.25" style="568" bestFit="1" customWidth="1"/>
    <col min="3337" max="3337" width="4.375" style="568" bestFit="1" customWidth="1"/>
    <col min="3338" max="3338" width="8.375" style="568" bestFit="1" customWidth="1"/>
    <col min="3339" max="3341" width="8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1" width="7.625" style="568" bestFit="1" customWidth="1"/>
    <col min="3592" max="3592" width="2.25" style="568" bestFit="1" customWidth="1"/>
    <col min="3593" max="3593" width="4.375" style="568" bestFit="1" customWidth="1"/>
    <col min="3594" max="3594" width="8.375" style="568" bestFit="1" customWidth="1"/>
    <col min="3595" max="3597" width="8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7" width="7.625" style="568" bestFit="1" customWidth="1"/>
    <col min="3848" max="3848" width="2.25" style="568" bestFit="1" customWidth="1"/>
    <col min="3849" max="3849" width="4.375" style="568" bestFit="1" customWidth="1"/>
    <col min="3850" max="3850" width="8.375" style="568" bestFit="1" customWidth="1"/>
    <col min="3851" max="3853" width="8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3" width="7.625" style="568" bestFit="1" customWidth="1"/>
    <col min="4104" max="4104" width="2.25" style="568" bestFit="1" customWidth="1"/>
    <col min="4105" max="4105" width="4.375" style="568" bestFit="1" customWidth="1"/>
    <col min="4106" max="4106" width="8.375" style="568" bestFit="1" customWidth="1"/>
    <col min="4107" max="4109" width="8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59" width="7.625" style="568" bestFit="1" customWidth="1"/>
    <col min="4360" max="4360" width="2.25" style="568" bestFit="1" customWidth="1"/>
    <col min="4361" max="4361" width="4.375" style="568" bestFit="1" customWidth="1"/>
    <col min="4362" max="4362" width="8.375" style="568" bestFit="1" customWidth="1"/>
    <col min="4363" max="4365" width="8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5" width="7.625" style="568" bestFit="1" customWidth="1"/>
    <col min="4616" max="4616" width="2.25" style="568" bestFit="1" customWidth="1"/>
    <col min="4617" max="4617" width="4.375" style="568" bestFit="1" customWidth="1"/>
    <col min="4618" max="4618" width="8.375" style="568" bestFit="1" customWidth="1"/>
    <col min="4619" max="4621" width="8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1" width="7.625" style="568" bestFit="1" customWidth="1"/>
    <col min="4872" max="4872" width="2.25" style="568" bestFit="1" customWidth="1"/>
    <col min="4873" max="4873" width="4.375" style="568" bestFit="1" customWidth="1"/>
    <col min="4874" max="4874" width="8.375" style="568" bestFit="1" customWidth="1"/>
    <col min="4875" max="4877" width="8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7" width="7.625" style="568" bestFit="1" customWidth="1"/>
    <col min="5128" max="5128" width="2.25" style="568" bestFit="1" customWidth="1"/>
    <col min="5129" max="5129" width="4.375" style="568" bestFit="1" customWidth="1"/>
    <col min="5130" max="5130" width="8.375" style="568" bestFit="1" customWidth="1"/>
    <col min="5131" max="5133" width="8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3" width="7.625" style="568" bestFit="1" customWidth="1"/>
    <col min="5384" max="5384" width="2.25" style="568" bestFit="1" customWidth="1"/>
    <col min="5385" max="5385" width="4.375" style="568" bestFit="1" customWidth="1"/>
    <col min="5386" max="5386" width="8.375" style="568" bestFit="1" customWidth="1"/>
    <col min="5387" max="5389" width="8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39" width="7.625" style="568" bestFit="1" customWidth="1"/>
    <col min="5640" max="5640" width="2.25" style="568" bestFit="1" customWidth="1"/>
    <col min="5641" max="5641" width="4.375" style="568" bestFit="1" customWidth="1"/>
    <col min="5642" max="5642" width="8.375" style="568" bestFit="1" customWidth="1"/>
    <col min="5643" max="5645" width="8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5" width="7.625" style="568" bestFit="1" customWidth="1"/>
    <col min="5896" max="5896" width="2.25" style="568" bestFit="1" customWidth="1"/>
    <col min="5897" max="5897" width="4.375" style="568" bestFit="1" customWidth="1"/>
    <col min="5898" max="5898" width="8.375" style="568" bestFit="1" customWidth="1"/>
    <col min="5899" max="5901" width="8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1" width="7.625" style="568" bestFit="1" customWidth="1"/>
    <col min="6152" max="6152" width="2.25" style="568" bestFit="1" customWidth="1"/>
    <col min="6153" max="6153" width="4.375" style="568" bestFit="1" customWidth="1"/>
    <col min="6154" max="6154" width="8.375" style="568" bestFit="1" customWidth="1"/>
    <col min="6155" max="6157" width="8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7" width="7.625" style="568" bestFit="1" customWidth="1"/>
    <col min="6408" max="6408" width="2.25" style="568" bestFit="1" customWidth="1"/>
    <col min="6409" max="6409" width="4.375" style="568" bestFit="1" customWidth="1"/>
    <col min="6410" max="6410" width="8.375" style="568" bestFit="1" customWidth="1"/>
    <col min="6411" max="6413" width="8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3" width="7.625" style="568" bestFit="1" customWidth="1"/>
    <col min="6664" max="6664" width="2.25" style="568" bestFit="1" customWidth="1"/>
    <col min="6665" max="6665" width="4.375" style="568" bestFit="1" customWidth="1"/>
    <col min="6666" max="6666" width="8.375" style="568" bestFit="1" customWidth="1"/>
    <col min="6667" max="6669" width="8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19" width="7.625" style="568" bestFit="1" customWidth="1"/>
    <col min="6920" max="6920" width="2.25" style="568" bestFit="1" customWidth="1"/>
    <col min="6921" max="6921" width="4.375" style="568" bestFit="1" customWidth="1"/>
    <col min="6922" max="6922" width="8.375" style="568" bestFit="1" customWidth="1"/>
    <col min="6923" max="6925" width="8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5" width="7.625" style="568" bestFit="1" customWidth="1"/>
    <col min="7176" max="7176" width="2.25" style="568" bestFit="1" customWidth="1"/>
    <col min="7177" max="7177" width="4.375" style="568" bestFit="1" customWidth="1"/>
    <col min="7178" max="7178" width="8.375" style="568" bestFit="1" customWidth="1"/>
    <col min="7179" max="7181" width="8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1" width="7.625" style="568" bestFit="1" customWidth="1"/>
    <col min="7432" max="7432" width="2.25" style="568" bestFit="1" customWidth="1"/>
    <col min="7433" max="7433" width="4.375" style="568" bestFit="1" customWidth="1"/>
    <col min="7434" max="7434" width="8.375" style="568" bestFit="1" customWidth="1"/>
    <col min="7435" max="7437" width="8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7" width="7.625" style="568" bestFit="1" customWidth="1"/>
    <col min="7688" max="7688" width="2.25" style="568" bestFit="1" customWidth="1"/>
    <col min="7689" max="7689" width="4.375" style="568" bestFit="1" customWidth="1"/>
    <col min="7690" max="7690" width="8.375" style="568" bestFit="1" customWidth="1"/>
    <col min="7691" max="7693" width="8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3" width="7.625" style="568" bestFit="1" customWidth="1"/>
    <col min="7944" max="7944" width="2.25" style="568" bestFit="1" customWidth="1"/>
    <col min="7945" max="7945" width="4.375" style="568" bestFit="1" customWidth="1"/>
    <col min="7946" max="7946" width="8.375" style="568" bestFit="1" customWidth="1"/>
    <col min="7947" max="7949" width="8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199" width="7.625" style="568" bestFit="1" customWidth="1"/>
    <col min="8200" max="8200" width="2.25" style="568" bestFit="1" customWidth="1"/>
    <col min="8201" max="8201" width="4.375" style="568" bestFit="1" customWidth="1"/>
    <col min="8202" max="8202" width="8.375" style="568" bestFit="1" customWidth="1"/>
    <col min="8203" max="8205" width="8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5" width="7.625" style="568" bestFit="1" customWidth="1"/>
    <col min="8456" max="8456" width="2.25" style="568" bestFit="1" customWidth="1"/>
    <col min="8457" max="8457" width="4.375" style="568" bestFit="1" customWidth="1"/>
    <col min="8458" max="8458" width="8.375" style="568" bestFit="1" customWidth="1"/>
    <col min="8459" max="8461" width="8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1" width="7.625" style="568" bestFit="1" customWidth="1"/>
    <col min="8712" max="8712" width="2.25" style="568" bestFit="1" customWidth="1"/>
    <col min="8713" max="8713" width="4.375" style="568" bestFit="1" customWidth="1"/>
    <col min="8714" max="8714" width="8.375" style="568" bestFit="1" customWidth="1"/>
    <col min="8715" max="8717" width="8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7" width="7.625" style="568" bestFit="1" customWidth="1"/>
    <col min="8968" max="8968" width="2.25" style="568" bestFit="1" customWidth="1"/>
    <col min="8969" max="8969" width="4.375" style="568" bestFit="1" customWidth="1"/>
    <col min="8970" max="8970" width="8.375" style="568" bestFit="1" customWidth="1"/>
    <col min="8971" max="8973" width="8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3" width="7.625" style="568" bestFit="1" customWidth="1"/>
    <col min="9224" max="9224" width="2.25" style="568" bestFit="1" customWidth="1"/>
    <col min="9225" max="9225" width="4.375" style="568" bestFit="1" customWidth="1"/>
    <col min="9226" max="9226" width="8.375" style="568" bestFit="1" customWidth="1"/>
    <col min="9227" max="9229" width="8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79" width="7.625" style="568" bestFit="1" customWidth="1"/>
    <col min="9480" max="9480" width="2.25" style="568" bestFit="1" customWidth="1"/>
    <col min="9481" max="9481" width="4.375" style="568" bestFit="1" customWidth="1"/>
    <col min="9482" max="9482" width="8.375" style="568" bestFit="1" customWidth="1"/>
    <col min="9483" max="9485" width="8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5" width="7.625" style="568" bestFit="1" customWidth="1"/>
    <col min="9736" max="9736" width="2.25" style="568" bestFit="1" customWidth="1"/>
    <col min="9737" max="9737" width="4.375" style="568" bestFit="1" customWidth="1"/>
    <col min="9738" max="9738" width="8.375" style="568" bestFit="1" customWidth="1"/>
    <col min="9739" max="9741" width="8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1" width="7.625" style="568" bestFit="1" customWidth="1"/>
    <col min="9992" max="9992" width="2.25" style="568" bestFit="1" customWidth="1"/>
    <col min="9993" max="9993" width="4.375" style="568" bestFit="1" customWidth="1"/>
    <col min="9994" max="9994" width="8.375" style="568" bestFit="1" customWidth="1"/>
    <col min="9995" max="9997" width="8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7" width="7.625" style="568" bestFit="1" customWidth="1"/>
    <col min="10248" max="10248" width="2.25" style="568" bestFit="1" customWidth="1"/>
    <col min="10249" max="10249" width="4.375" style="568" bestFit="1" customWidth="1"/>
    <col min="10250" max="10250" width="8.375" style="568" bestFit="1" customWidth="1"/>
    <col min="10251" max="10253" width="8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3" width="7.625" style="568" bestFit="1" customWidth="1"/>
    <col min="10504" max="10504" width="2.25" style="568" bestFit="1" customWidth="1"/>
    <col min="10505" max="10505" width="4.375" style="568" bestFit="1" customWidth="1"/>
    <col min="10506" max="10506" width="8.375" style="568" bestFit="1" customWidth="1"/>
    <col min="10507" max="10509" width="8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59" width="7.625" style="568" bestFit="1" customWidth="1"/>
    <col min="10760" max="10760" width="2.25" style="568" bestFit="1" customWidth="1"/>
    <col min="10761" max="10761" width="4.375" style="568" bestFit="1" customWidth="1"/>
    <col min="10762" max="10762" width="8.375" style="568" bestFit="1" customWidth="1"/>
    <col min="10763" max="10765" width="8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5" width="7.625" style="568" bestFit="1" customWidth="1"/>
    <col min="11016" max="11016" width="2.25" style="568" bestFit="1" customWidth="1"/>
    <col min="11017" max="11017" width="4.375" style="568" bestFit="1" customWidth="1"/>
    <col min="11018" max="11018" width="8.375" style="568" bestFit="1" customWidth="1"/>
    <col min="11019" max="11021" width="8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1" width="7.625" style="568" bestFit="1" customWidth="1"/>
    <col min="11272" max="11272" width="2.25" style="568" bestFit="1" customWidth="1"/>
    <col min="11273" max="11273" width="4.375" style="568" bestFit="1" customWidth="1"/>
    <col min="11274" max="11274" width="8.375" style="568" bestFit="1" customWidth="1"/>
    <col min="11275" max="11277" width="8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7" width="7.625" style="568" bestFit="1" customWidth="1"/>
    <col min="11528" max="11528" width="2.25" style="568" bestFit="1" customWidth="1"/>
    <col min="11529" max="11529" width="4.375" style="568" bestFit="1" customWidth="1"/>
    <col min="11530" max="11530" width="8.375" style="568" bestFit="1" customWidth="1"/>
    <col min="11531" max="11533" width="8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3" width="7.625" style="568" bestFit="1" customWidth="1"/>
    <col min="11784" max="11784" width="2.25" style="568" bestFit="1" customWidth="1"/>
    <col min="11785" max="11785" width="4.375" style="568" bestFit="1" customWidth="1"/>
    <col min="11786" max="11786" width="8.375" style="568" bestFit="1" customWidth="1"/>
    <col min="11787" max="11789" width="8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39" width="7.625" style="568" bestFit="1" customWidth="1"/>
    <col min="12040" max="12040" width="2.25" style="568" bestFit="1" customWidth="1"/>
    <col min="12041" max="12041" width="4.375" style="568" bestFit="1" customWidth="1"/>
    <col min="12042" max="12042" width="8.375" style="568" bestFit="1" customWidth="1"/>
    <col min="12043" max="12045" width="8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5" width="7.625" style="568" bestFit="1" customWidth="1"/>
    <col min="12296" max="12296" width="2.25" style="568" bestFit="1" customWidth="1"/>
    <col min="12297" max="12297" width="4.375" style="568" bestFit="1" customWidth="1"/>
    <col min="12298" max="12298" width="8.375" style="568" bestFit="1" customWidth="1"/>
    <col min="12299" max="12301" width="8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1" width="7.625" style="568" bestFit="1" customWidth="1"/>
    <col min="12552" max="12552" width="2.25" style="568" bestFit="1" customWidth="1"/>
    <col min="12553" max="12553" width="4.375" style="568" bestFit="1" customWidth="1"/>
    <col min="12554" max="12554" width="8.375" style="568" bestFit="1" customWidth="1"/>
    <col min="12555" max="12557" width="8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7" width="7.625" style="568" bestFit="1" customWidth="1"/>
    <col min="12808" max="12808" width="2.25" style="568" bestFit="1" customWidth="1"/>
    <col min="12809" max="12809" width="4.375" style="568" bestFit="1" customWidth="1"/>
    <col min="12810" max="12810" width="8.375" style="568" bestFit="1" customWidth="1"/>
    <col min="12811" max="12813" width="8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3" width="7.625" style="568" bestFit="1" customWidth="1"/>
    <col min="13064" max="13064" width="2.25" style="568" bestFit="1" customWidth="1"/>
    <col min="13065" max="13065" width="4.375" style="568" bestFit="1" customWidth="1"/>
    <col min="13066" max="13066" width="8.375" style="568" bestFit="1" customWidth="1"/>
    <col min="13067" max="13069" width="8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19" width="7.625" style="568" bestFit="1" customWidth="1"/>
    <col min="13320" max="13320" width="2.25" style="568" bestFit="1" customWidth="1"/>
    <col min="13321" max="13321" width="4.375" style="568" bestFit="1" customWidth="1"/>
    <col min="13322" max="13322" width="8.375" style="568" bestFit="1" customWidth="1"/>
    <col min="13323" max="13325" width="8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5" width="7.625" style="568" bestFit="1" customWidth="1"/>
    <col min="13576" max="13576" width="2.25" style="568" bestFit="1" customWidth="1"/>
    <col min="13577" max="13577" width="4.375" style="568" bestFit="1" customWidth="1"/>
    <col min="13578" max="13578" width="8.375" style="568" bestFit="1" customWidth="1"/>
    <col min="13579" max="13581" width="8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1" width="7.625" style="568" bestFit="1" customWidth="1"/>
    <col min="13832" max="13832" width="2.25" style="568" bestFit="1" customWidth="1"/>
    <col min="13833" max="13833" width="4.375" style="568" bestFit="1" customWidth="1"/>
    <col min="13834" max="13834" width="8.375" style="568" bestFit="1" customWidth="1"/>
    <col min="13835" max="13837" width="8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7" width="7.625" style="568" bestFit="1" customWidth="1"/>
    <col min="14088" max="14088" width="2.25" style="568" bestFit="1" customWidth="1"/>
    <col min="14089" max="14089" width="4.375" style="568" bestFit="1" customWidth="1"/>
    <col min="14090" max="14090" width="8.375" style="568" bestFit="1" customWidth="1"/>
    <col min="14091" max="14093" width="8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3" width="7.625" style="568" bestFit="1" customWidth="1"/>
    <col min="14344" max="14344" width="2.25" style="568" bestFit="1" customWidth="1"/>
    <col min="14345" max="14345" width="4.375" style="568" bestFit="1" customWidth="1"/>
    <col min="14346" max="14346" width="8.375" style="568" bestFit="1" customWidth="1"/>
    <col min="14347" max="14349" width="8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599" width="7.625" style="568" bestFit="1" customWidth="1"/>
    <col min="14600" max="14600" width="2.25" style="568" bestFit="1" customWidth="1"/>
    <col min="14601" max="14601" width="4.375" style="568" bestFit="1" customWidth="1"/>
    <col min="14602" max="14602" width="8.375" style="568" bestFit="1" customWidth="1"/>
    <col min="14603" max="14605" width="8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5" width="7.625" style="568" bestFit="1" customWidth="1"/>
    <col min="14856" max="14856" width="2.25" style="568" bestFit="1" customWidth="1"/>
    <col min="14857" max="14857" width="4.375" style="568" bestFit="1" customWidth="1"/>
    <col min="14858" max="14858" width="8.375" style="568" bestFit="1" customWidth="1"/>
    <col min="14859" max="14861" width="8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1" width="7.625" style="568" bestFit="1" customWidth="1"/>
    <col min="15112" max="15112" width="2.25" style="568" bestFit="1" customWidth="1"/>
    <col min="15113" max="15113" width="4.375" style="568" bestFit="1" customWidth="1"/>
    <col min="15114" max="15114" width="8.375" style="568" bestFit="1" customWidth="1"/>
    <col min="15115" max="15117" width="8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7" width="7.625" style="568" bestFit="1" customWidth="1"/>
    <col min="15368" max="15368" width="2.25" style="568" bestFit="1" customWidth="1"/>
    <col min="15369" max="15369" width="4.375" style="568" bestFit="1" customWidth="1"/>
    <col min="15370" max="15370" width="8.375" style="568" bestFit="1" customWidth="1"/>
    <col min="15371" max="15373" width="8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3" width="7.625" style="568" bestFit="1" customWidth="1"/>
    <col min="15624" max="15624" width="2.25" style="568" bestFit="1" customWidth="1"/>
    <col min="15625" max="15625" width="4.375" style="568" bestFit="1" customWidth="1"/>
    <col min="15626" max="15626" width="8.375" style="568" bestFit="1" customWidth="1"/>
    <col min="15627" max="15629" width="8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79" width="7.625" style="568" bestFit="1" customWidth="1"/>
    <col min="15880" max="15880" width="2.25" style="568" bestFit="1" customWidth="1"/>
    <col min="15881" max="15881" width="4.375" style="568" bestFit="1" customWidth="1"/>
    <col min="15882" max="15882" width="8.375" style="568" bestFit="1" customWidth="1"/>
    <col min="15883" max="15885" width="8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5" width="7.625" style="568" bestFit="1" customWidth="1"/>
    <col min="16136" max="16136" width="2.25" style="568" bestFit="1" customWidth="1"/>
    <col min="16137" max="16137" width="4.375" style="568" bestFit="1" customWidth="1"/>
    <col min="16138" max="16138" width="8.375" style="568" bestFit="1" customWidth="1"/>
    <col min="16139" max="16141" width="8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824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401</v>
      </c>
      <c r="J9" s="567" t="s">
        <v>327</v>
      </c>
      <c r="K9" s="567" t="s">
        <v>1002</v>
      </c>
      <c r="L9" s="567" t="s">
        <v>1003</v>
      </c>
      <c r="M9" s="567" t="s">
        <v>1004</v>
      </c>
      <c r="N9" s="567" t="s">
        <v>1011</v>
      </c>
      <c r="O9" s="567" t="s">
        <v>1012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0.15275462962962963</v>
      </c>
      <c r="E10" s="567">
        <v>105584</v>
      </c>
      <c r="F10" s="567" t="s">
        <v>1001</v>
      </c>
      <c r="G10" s="567" t="s">
        <v>326</v>
      </c>
      <c r="H10" s="567">
        <v>0</v>
      </c>
      <c r="I10" s="567">
        <v>401</v>
      </c>
      <c r="J10" s="567" t="s">
        <v>327</v>
      </c>
      <c r="K10" s="567" t="s">
        <v>1002</v>
      </c>
      <c r="L10" s="567" t="s">
        <v>1003</v>
      </c>
      <c r="M10" s="567" t="s">
        <v>1004</v>
      </c>
      <c r="N10" s="567" t="s">
        <v>1011</v>
      </c>
      <c r="O10" s="567" t="s">
        <v>1012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0.16250000000000001</v>
      </c>
      <c r="E11" s="567">
        <v>6736</v>
      </c>
      <c r="F11" s="567" t="s">
        <v>1001</v>
      </c>
      <c r="G11" s="567" t="s">
        <v>326</v>
      </c>
      <c r="H11" s="567">
        <v>0</v>
      </c>
      <c r="I11" s="567">
        <v>97</v>
      </c>
      <c r="J11" s="567" t="s">
        <v>327</v>
      </c>
      <c r="K11" s="567" t="s">
        <v>1002</v>
      </c>
      <c r="L11" s="567" t="s">
        <v>1003</v>
      </c>
      <c r="M11" s="567" t="s">
        <v>1004</v>
      </c>
      <c r="N11" s="567" t="s">
        <v>1011</v>
      </c>
      <c r="O11" s="567" t="s">
        <v>1012</v>
      </c>
      <c r="P11" s="567" t="s">
        <v>1007</v>
      </c>
      <c r="Q11" s="567" t="s">
        <v>1008</v>
      </c>
      <c r="R11" s="567">
        <v>80</v>
      </c>
    </row>
    <row r="12" spans="1:18" ht="15" x14ac:dyDescent="0.2">
      <c r="A12" s="567"/>
      <c r="B12" s="567"/>
      <c r="C12" s="567"/>
      <c r="D12" s="569">
        <v>0.26041666666666669</v>
      </c>
      <c r="E12" s="567">
        <v>67680</v>
      </c>
      <c r="F12" s="567" t="s">
        <v>1001</v>
      </c>
      <c r="G12" s="567" t="s">
        <v>326</v>
      </c>
      <c r="H12" s="567">
        <v>0</v>
      </c>
      <c r="I12" s="567">
        <v>97</v>
      </c>
      <c r="J12" s="567" t="s">
        <v>327</v>
      </c>
      <c r="K12" s="567" t="s">
        <v>1002</v>
      </c>
      <c r="L12" s="567" t="s">
        <v>1003</v>
      </c>
      <c r="M12" s="567" t="s">
        <v>1004</v>
      </c>
      <c r="N12" s="567" t="s">
        <v>1011</v>
      </c>
      <c r="O12" s="567" t="s">
        <v>1012</v>
      </c>
      <c r="P12" s="567" t="s">
        <v>1009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0.26666666666666666</v>
      </c>
      <c r="E13" s="567">
        <v>4320</v>
      </c>
      <c r="F13" s="567" t="s">
        <v>1001</v>
      </c>
      <c r="G13" s="567" t="s">
        <v>326</v>
      </c>
      <c r="H13" s="567">
        <v>0</v>
      </c>
      <c r="I13" s="567">
        <v>39</v>
      </c>
      <c r="J13" s="567" t="s">
        <v>327</v>
      </c>
      <c r="K13" s="567" t="s">
        <v>1002</v>
      </c>
      <c r="L13" s="567" t="s">
        <v>1003</v>
      </c>
      <c r="M13" s="567" t="s">
        <v>1004</v>
      </c>
      <c r="N13" s="567" t="s">
        <v>1011</v>
      </c>
      <c r="O13" s="567" t="s">
        <v>1012</v>
      </c>
      <c r="P13" s="567" t="s">
        <v>1007</v>
      </c>
      <c r="Q13" s="567" t="s">
        <v>1008</v>
      </c>
      <c r="R13" s="567">
        <v>80</v>
      </c>
    </row>
    <row r="14" spans="1:18" ht="15" x14ac:dyDescent="0.2">
      <c r="A14" s="567"/>
      <c r="B14" s="567"/>
      <c r="C14" s="567"/>
      <c r="D14" s="569">
        <v>0.30583333333333335</v>
      </c>
      <c r="E14" s="567">
        <v>27072</v>
      </c>
      <c r="F14" s="567" t="s">
        <v>1001</v>
      </c>
      <c r="G14" s="567" t="s">
        <v>326</v>
      </c>
      <c r="H14" s="567">
        <v>0</v>
      </c>
      <c r="I14" s="567">
        <v>39</v>
      </c>
      <c r="J14" s="567" t="s">
        <v>327</v>
      </c>
      <c r="K14" s="567" t="s">
        <v>1002</v>
      </c>
      <c r="L14" s="567" t="s">
        <v>1003</v>
      </c>
      <c r="M14" s="567" t="s">
        <v>1004</v>
      </c>
      <c r="N14" s="567" t="s">
        <v>1011</v>
      </c>
      <c r="O14" s="567" t="s">
        <v>1012</v>
      </c>
      <c r="P14" s="567" t="s">
        <v>1009</v>
      </c>
      <c r="Q14" s="567" t="s">
        <v>1008</v>
      </c>
      <c r="R14" s="567">
        <v>80</v>
      </c>
    </row>
    <row r="15" spans="1:18" ht="15" x14ac:dyDescent="0.2">
      <c r="A15" s="567"/>
      <c r="B15" s="567"/>
      <c r="C15" s="567"/>
      <c r="D15" s="569">
        <v>0.30583333333333335</v>
      </c>
      <c r="E15" s="567">
        <v>0</v>
      </c>
      <c r="F15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7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7" width="7.625" style="568" bestFit="1" customWidth="1"/>
    <col min="8" max="8" width="2.25" style="568" bestFit="1" customWidth="1"/>
    <col min="9" max="9" width="4.375" style="568" bestFit="1" customWidth="1"/>
    <col min="10" max="10" width="8.375" style="568" bestFit="1" customWidth="1"/>
    <col min="11" max="13" width="11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3" width="7.625" style="568" bestFit="1" customWidth="1"/>
    <col min="264" max="264" width="2.25" style="568" bestFit="1" customWidth="1"/>
    <col min="265" max="265" width="4.375" style="568" bestFit="1" customWidth="1"/>
    <col min="266" max="266" width="8.375" style="568" bestFit="1" customWidth="1"/>
    <col min="267" max="269" width="11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19" width="7.625" style="568" bestFit="1" customWidth="1"/>
    <col min="520" max="520" width="2.25" style="568" bestFit="1" customWidth="1"/>
    <col min="521" max="521" width="4.375" style="568" bestFit="1" customWidth="1"/>
    <col min="522" max="522" width="8.375" style="568" bestFit="1" customWidth="1"/>
    <col min="523" max="525" width="11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5" width="7.625" style="568" bestFit="1" customWidth="1"/>
    <col min="776" max="776" width="2.25" style="568" bestFit="1" customWidth="1"/>
    <col min="777" max="777" width="4.375" style="568" bestFit="1" customWidth="1"/>
    <col min="778" max="778" width="8.375" style="568" bestFit="1" customWidth="1"/>
    <col min="779" max="781" width="11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1" width="7.625" style="568" bestFit="1" customWidth="1"/>
    <col min="1032" max="1032" width="2.25" style="568" bestFit="1" customWidth="1"/>
    <col min="1033" max="1033" width="4.375" style="568" bestFit="1" customWidth="1"/>
    <col min="1034" max="1034" width="8.375" style="568" bestFit="1" customWidth="1"/>
    <col min="1035" max="1037" width="11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7" width="7.625" style="568" bestFit="1" customWidth="1"/>
    <col min="1288" max="1288" width="2.25" style="568" bestFit="1" customWidth="1"/>
    <col min="1289" max="1289" width="4.375" style="568" bestFit="1" customWidth="1"/>
    <col min="1290" max="1290" width="8.375" style="568" bestFit="1" customWidth="1"/>
    <col min="1291" max="1293" width="11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3" width="7.625" style="568" bestFit="1" customWidth="1"/>
    <col min="1544" max="1544" width="2.25" style="568" bestFit="1" customWidth="1"/>
    <col min="1545" max="1545" width="4.375" style="568" bestFit="1" customWidth="1"/>
    <col min="1546" max="1546" width="8.375" style="568" bestFit="1" customWidth="1"/>
    <col min="1547" max="1549" width="11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799" width="7.625" style="568" bestFit="1" customWidth="1"/>
    <col min="1800" max="1800" width="2.25" style="568" bestFit="1" customWidth="1"/>
    <col min="1801" max="1801" width="4.375" style="568" bestFit="1" customWidth="1"/>
    <col min="1802" max="1802" width="8.375" style="568" bestFit="1" customWidth="1"/>
    <col min="1803" max="1805" width="11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5" width="7.625" style="568" bestFit="1" customWidth="1"/>
    <col min="2056" max="2056" width="2.25" style="568" bestFit="1" customWidth="1"/>
    <col min="2057" max="2057" width="4.375" style="568" bestFit="1" customWidth="1"/>
    <col min="2058" max="2058" width="8.375" style="568" bestFit="1" customWidth="1"/>
    <col min="2059" max="2061" width="11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1" width="7.625" style="568" bestFit="1" customWidth="1"/>
    <col min="2312" max="2312" width="2.25" style="568" bestFit="1" customWidth="1"/>
    <col min="2313" max="2313" width="4.375" style="568" bestFit="1" customWidth="1"/>
    <col min="2314" max="2314" width="8.375" style="568" bestFit="1" customWidth="1"/>
    <col min="2315" max="2317" width="11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7" width="7.625" style="568" bestFit="1" customWidth="1"/>
    <col min="2568" max="2568" width="2.25" style="568" bestFit="1" customWidth="1"/>
    <col min="2569" max="2569" width="4.375" style="568" bestFit="1" customWidth="1"/>
    <col min="2570" max="2570" width="8.375" style="568" bestFit="1" customWidth="1"/>
    <col min="2571" max="2573" width="11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3" width="7.625" style="568" bestFit="1" customWidth="1"/>
    <col min="2824" max="2824" width="2.25" style="568" bestFit="1" customWidth="1"/>
    <col min="2825" max="2825" width="4.375" style="568" bestFit="1" customWidth="1"/>
    <col min="2826" max="2826" width="8.375" style="568" bestFit="1" customWidth="1"/>
    <col min="2827" max="2829" width="11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79" width="7.625" style="568" bestFit="1" customWidth="1"/>
    <col min="3080" max="3080" width="2.25" style="568" bestFit="1" customWidth="1"/>
    <col min="3081" max="3081" width="4.375" style="568" bestFit="1" customWidth="1"/>
    <col min="3082" max="3082" width="8.375" style="568" bestFit="1" customWidth="1"/>
    <col min="3083" max="3085" width="11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5" width="7.625" style="568" bestFit="1" customWidth="1"/>
    <col min="3336" max="3336" width="2.25" style="568" bestFit="1" customWidth="1"/>
    <col min="3337" max="3337" width="4.375" style="568" bestFit="1" customWidth="1"/>
    <col min="3338" max="3338" width="8.375" style="568" bestFit="1" customWidth="1"/>
    <col min="3339" max="3341" width="11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1" width="7.625" style="568" bestFit="1" customWidth="1"/>
    <col min="3592" max="3592" width="2.25" style="568" bestFit="1" customWidth="1"/>
    <col min="3593" max="3593" width="4.375" style="568" bestFit="1" customWidth="1"/>
    <col min="3594" max="3594" width="8.375" style="568" bestFit="1" customWidth="1"/>
    <col min="3595" max="3597" width="11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7" width="7.625" style="568" bestFit="1" customWidth="1"/>
    <col min="3848" max="3848" width="2.25" style="568" bestFit="1" customWidth="1"/>
    <col min="3849" max="3849" width="4.375" style="568" bestFit="1" customWidth="1"/>
    <col min="3850" max="3850" width="8.375" style="568" bestFit="1" customWidth="1"/>
    <col min="3851" max="3853" width="11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3" width="7.625" style="568" bestFit="1" customWidth="1"/>
    <col min="4104" max="4104" width="2.25" style="568" bestFit="1" customWidth="1"/>
    <col min="4105" max="4105" width="4.375" style="568" bestFit="1" customWidth="1"/>
    <col min="4106" max="4106" width="8.375" style="568" bestFit="1" customWidth="1"/>
    <col min="4107" max="4109" width="11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59" width="7.625" style="568" bestFit="1" customWidth="1"/>
    <col min="4360" max="4360" width="2.25" style="568" bestFit="1" customWidth="1"/>
    <col min="4361" max="4361" width="4.375" style="568" bestFit="1" customWidth="1"/>
    <col min="4362" max="4362" width="8.375" style="568" bestFit="1" customWidth="1"/>
    <col min="4363" max="4365" width="11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5" width="7.625" style="568" bestFit="1" customWidth="1"/>
    <col min="4616" max="4616" width="2.25" style="568" bestFit="1" customWidth="1"/>
    <col min="4617" max="4617" width="4.375" style="568" bestFit="1" customWidth="1"/>
    <col min="4618" max="4618" width="8.375" style="568" bestFit="1" customWidth="1"/>
    <col min="4619" max="4621" width="11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1" width="7.625" style="568" bestFit="1" customWidth="1"/>
    <col min="4872" max="4872" width="2.25" style="568" bestFit="1" customWidth="1"/>
    <col min="4873" max="4873" width="4.375" style="568" bestFit="1" customWidth="1"/>
    <col min="4874" max="4874" width="8.375" style="568" bestFit="1" customWidth="1"/>
    <col min="4875" max="4877" width="11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7" width="7.625" style="568" bestFit="1" customWidth="1"/>
    <col min="5128" max="5128" width="2.25" style="568" bestFit="1" customWidth="1"/>
    <col min="5129" max="5129" width="4.375" style="568" bestFit="1" customWidth="1"/>
    <col min="5130" max="5130" width="8.375" style="568" bestFit="1" customWidth="1"/>
    <col min="5131" max="5133" width="11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3" width="7.625" style="568" bestFit="1" customWidth="1"/>
    <col min="5384" max="5384" width="2.25" style="568" bestFit="1" customWidth="1"/>
    <col min="5385" max="5385" width="4.375" style="568" bestFit="1" customWidth="1"/>
    <col min="5386" max="5386" width="8.375" style="568" bestFit="1" customWidth="1"/>
    <col min="5387" max="5389" width="11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39" width="7.625" style="568" bestFit="1" customWidth="1"/>
    <col min="5640" max="5640" width="2.25" style="568" bestFit="1" customWidth="1"/>
    <col min="5641" max="5641" width="4.375" style="568" bestFit="1" customWidth="1"/>
    <col min="5642" max="5642" width="8.375" style="568" bestFit="1" customWidth="1"/>
    <col min="5643" max="5645" width="11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5" width="7.625" style="568" bestFit="1" customWidth="1"/>
    <col min="5896" max="5896" width="2.25" style="568" bestFit="1" customWidth="1"/>
    <col min="5897" max="5897" width="4.375" style="568" bestFit="1" customWidth="1"/>
    <col min="5898" max="5898" width="8.375" style="568" bestFit="1" customWidth="1"/>
    <col min="5899" max="5901" width="11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1" width="7.625" style="568" bestFit="1" customWidth="1"/>
    <col min="6152" max="6152" width="2.25" style="568" bestFit="1" customWidth="1"/>
    <col min="6153" max="6153" width="4.375" style="568" bestFit="1" customWidth="1"/>
    <col min="6154" max="6154" width="8.375" style="568" bestFit="1" customWidth="1"/>
    <col min="6155" max="6157" width="11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7" width="7.625" style="568" bestFit="1" customWidth="1"/>
    <col min="6408" max="6408" width="2.25" style="568" bestFit="1" customWidth="1"/>
    <col min="6409" max="6409" width="4.375" style="568" bestFit="1" customWidth="1"/>
    <col min="6410" max="6410" width="8.375" style="568" bestFit="1" customWidth="1"/>
    <col min="6411" max="6413" width="11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3" width="7.625" style="568" bestFit="1" customWidth="1"/>
    <col min="6664" max="6664" width="2.25" style="568" bestFit="1" customWidth="1"/>
    <col min="6665" max="6665" width="4.375" style="568" bestFit="1" customWidth="1"/>
    <col min="6666" max="6666" width="8.375" style="568" bestFit="1" customWidth="1"/>
    <col min="6667" max="6669" width="11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19" width="7.625" style="568" bestFit="1" customWidth="1"/>
    <col min="6920" max="6920" width="2.25" style="568" bestFit="1" customWidth="1"/>
    <col min="6921" max="6921" width="4.375" style="568" bestFit="1" customWidth="1"/>
    <col min="6922" max="6922" width="8.375" style="568" bestFit="1" customWidth="1"/>
    <col min="6923" max="6925" width="11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5" width="7.625" style="568" bestFit="1" customWidth="1"/>
    <col min="7176" max="7176" width="2.25" style="568" bestFit="1" customWidth="1"/>
    <col min="7177" max="7177" width="4.375" style="568" bestFit="1" customWidth="1"/>
    <col min="7178" max="7178" width="8.375" style="568" bestFit="1" customWidth="1"/>
    <col min="7179" max="7181" width="11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1" width="7.625" style="568" bestFit="1" customWidth="1"/>
    <col min="7432" max="7432" width="2.25" style="568" bestFit="1" customWidth="1"/>
    <col min="7433" max="7433" width="4.375" style="568" bestFit="1" customWidth="1"/>
    <col min="7434" max="7434" width="8.375" style="568" bestFit="1" customWidth="1"/>
    <col min="7435" max="7437" width="11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7" width="7.625" style="568" bestFit="1" customWidth="1"/>
    <col min="7688" max="7688" width="2.25" style="568" bestFit="1" customWidth="1"/>
    <col min="7689" max="7689" width="4.375" style="568" bestFit="1" customWidth="1"/>
    <col min="7690" max="7690" width="8.375" style="568" bestFit="1" customWidth="1"/>
    <col min="7691" max="7693" width="11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3" width="7.625" style="568" bestFit="1" customWidth="1"/>
    <col min="7944" max="7944" width="2.25" style="568" bestFit="1" customWidth="1"/>
    <col min="7945" max="7945" width="4.375" style="568" bestFit="1" customWidth="1"/>
    <col min="7946" max="7946" width="8.375" style="568" bestFit="1" customWidth="1"/>
    <col min="7947" max="7949" width="11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199" width="7.625" style="568" bestFit="1" customWidth="1"/>
    <col min="8200" max="8200" width="2.25" style="568" bestFit="1" customWidth="1"/>
    <col min="8201" max="8201" width="4.375" style="568" bestFit="1" customWidth="1"/>
    <col min="8202" max="8202" width="8.375" style="568" bestFit="1" customWidth="1"/>
    <col min="8203" max="8205" width="11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5" width="7.625" style="568" bestFit="1" customWidth="1"/>
    <col min="8456" max="8456" width="2.25" style="568" bestFit="1" customWidth="1"/>
    <col min="8457" max="8457" width="4.375" style="568" bestFit="1" customWidth="1"/>
    <col min="8458" max="8458" width="8.375" style="568" bestFit="1" customWidth="1"/>
    <col min="8459" max="8461" width="11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1" width="7.625" style="568" bestFit="1" customWidth="1"/>
    <col min="8712" max="8712" width="2.25" style="568" bestFit="1" customWidth="1"/>
    <col min="8713" max="8713" width="4.375" style="568" bestFit="1" customWidth="1"/>
    <col min="8714" max="8714" width="8.375" style="568" bestFit="1" customWidth="1"/>
    <col min="8715" max="8717" width="11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7" width="7.625" style="568" bestFit="1" customWidth="1"/>
    <col min="8968" max="8968" width="2.25" style="568" bestFit="1" customWidth="1"/>
    <col min="8969" max="8969" width="4.375" style="568" bestFit="1" customWidth="1"/>
    <col min="8970" max="8970" width="8.375" style="568" bestFit="1" customWidth="1"/>
    <col min="8971" max="8973" width="11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3" width="7.625" style="568" bestFit="1" customWidth="1"/>
    <col min="9224" max="9224" width="2.25" style="568" bestFit="1" customWidth="1"/>
    <col min="9225" max="9225" width="4.375" style="568" bestFit="1" customWidth="1"/>
    <col min="9226" max="9226" width="8.375" style="568" bestFit="1" customWidth="1"/>
    <col min="9227" max="9229" width="11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79" width="7.625" style="568" bestFit="1" customWidth="1"/>
    <col min="9480" max="9480" width="2.25" style="568" bestFit="1" customWidth="1"/>
    <col min="9481" max="9481" width="4.375" style="568" bestFit="1" customWidth="1"/>
    <col min="9482" max="9482" width="8.375" style="568" bestFit="1" customWidth="1"/>
    <col min="9483" max="9485" width="11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5" width="7.625" style="568" bestFit="1" customWidth="1"/>
    <col min="9736" max="9736" width="2.25" style="568" bestFit="1" customWidth="1"/>
    <col min="9737" max="9737" width="4.375" style="568" bestFit="1" customWidth="1"/>
    <col min="9738" max="9738" width="8.375" style="568" bestFit="1" customWidth="1"/>
    <col min="9739" max="9741" width="11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1" width="7.625" style="568" bestFit="1" customWidth="1"/>
    <col min="9992" max="9992" width="2.25" style="568" bestFit="1" customWidth="1"/>
    <col min="9993" max="9993" width="4.375" style="568" bestFit="1" customWidth="1"/>
    <col min="9994" max="9994" width="8.375" style="568" bestFit="1" customWidth="1"/>
    <col min="9995" max="9997" width="11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7" width="7.625" style="568" bestFit="1" customWidth="1"/>
    <col min="10248" max="10248" width="2.25" style="568" bestFit="1" customWidth="1"/>
    <col min="10249" max="10249" width="4.375" style="568" bestFit="1" customWidth="1"/>
    <col min="10250" max="10250" width="8.375" style="568" bestFit="1" customWidth="1"/>
    <col min="10251" max="10253" width="11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3" width="7.625" style="568" bestFit="1" customWidth="1"/>
    <col min="10504" max="10504" width="2.25" style="568" bestFit="1" customWidth="1"/>
    <col min="10505" max="10505" width="4.375" style="568" bestFit="1" customWidth="1"/>
    <col min="10506" max="10506" width="8.375" style="568" bestFit="1" customWidth="1"/>
    <col min="10507" max="10509" width="11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59" width="7.625" style="568" bestFit="1" customWidth="1"/>
    <col min="10760" max="10760" width="2.25" style="568" bestFit="1" customWidth="1"/>
    <col min="10761" max="10761" width="4.375" style="568" bestFit="1" customWidth="1"/>
    <col min="10762" max="10762" width="8.375" style="568" bestFit="1" customWidth="1"/>
    <col min="10763" max="10765" width="11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5" width="7.625" style="568" bestFit="1" customWidth="1"/>
    <col min="11016" max="11016" width="2.25" style="568" bestFit="1" customWidth="1"/>
    <col min="11017" max="11017" width="4.375" style="568" bestFit="1" customWidth="1"/>
    <col min="11018" max="11018" width="8.375" style="568" bestFit="1" customWidth="1"/>
    <col min="11019" max="11021" width="11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1" width="7.625" style="568" bestFit="1" customWidth="1"/>
    <col min="11272" max="11272" width="2.25" style="568" bestFit="1" customWidth="1"/>
    <col min="11273" max="11273" width="4.375" style="568" bestFit="1" customWidth="1"/>
    <col min="11274" max="11274" width="8.375" style="568" bestFit="1" customWidth="1"/>
    <col min="11275" max="11277" width="11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7" width="7.625" style="568" bestFit="1" customWidth="1"/>
    <col min="11528" max="11528" width="2.25" style="568" bestFit="1" customWidth="1"/>
    <col min="11529" max="11529" width="4.375" style="568" bestFit="1" customWidth="1"/>
    <col min="11530" max="11530" width="8.375" style="568" bestFit="1" customWidth="1"/>
    <col min="11531" max="11533" width="11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3" width="7.625" style="568" bestFit="1" customWidth="1"/>
    <col min="11784" max="11784" width="2.25" style="568" bestFit="1" customWidth="1"/>
    <col min="11785" max="11785" width="4.375" style="568" bestFit="1" customWidth="1"/>
    <col min="11786" max="11786" width="8.375" style="568" bestFit="1" customWidth="1"/>
    <col min="11787" max="11789" width="11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39" width="7.625" style="568" bestFit="1" customWidth="1"/>
    <col min="12040" max="12040" width="2.25" style="568" bestFit="1" customWidth="1"/>
    <col min="12041" max="12041" width="4.375" style="568" bestFit="1" customWidth="1"/>
    <col min="12042" max="12042" width="8.375" style="568" bestFit="1" customWidth="1"/>
    <col min="12043" max="12045" width="11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5" width="7.625" style="568" bestFit="1" customWidth="1"/>
    <col min="12296" max="12296" width="2.25" style="568" bestFit="1" customWidth="1"/>
    <col min="12297" max="12297" width="4.375" style="568" bestFit="1" customWidth="1"/>
    <col min="12298" max="12298" width="8.375" style="568" bestFit="1" customWidth="1"/>
    <col min="12299" max="12301" width="11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1" width="7.625" style="568" bestFit="1" customWidth="1"/>
    <col min="12552" max="12552" width="2.25" style="568" bestFit="1" customWidth="1"/>
    <col min="12553" max="12553" width="4.375" style="568" bestFit="1" customWidth="1"/>
    <col min="12554" max="12554" width="8.375" style="568" bestFit="1" customWidth="1"/>
    <col min="12555" max="12557" width="11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7" width="7.625" style="568" bestFit="1" customWidth="1"/>
    <col min="12808" max="12808" width="2.25" style="568" bestFit="1" customWidth="1"/>
    <col min="12809" max="12809" width="4.375" style="568" bestFit="1" customWidth="1"/>
    <col min="12810" max="12810" width="8.375" style="568" bestFit="1" customWidth="1"/>
    <col min="12811" max="12813" width="11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3" width="7.625" style="568" bestFit="1" customWidth="1"/>
    <col min="13064" max="13064" width="2.25" style="568" bestFit="1" customWidth="1"/>
    <col min="13065" max="13065" width="4.375" style="568" bestFit="1" customWidth="1"/>
    <col min="13066" max="13066" width="8.375" style="568" bestFit="1" customWidth="1"/>
    <col min="13067" max="13069" width="11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19" width="7.625" style="568" bestFit="1" customWidth="1"/>
    <col min="13320" max="13320" width="2.25" style="568" bestFit="1" customWidth="1"/>
    <col min="13321" max="13321" width="4.375" style="568" bestFit="1" customWidth="1"/>
    <col min="13322" max="13322" width="8.375" style="568" bestFit="1" customWidth="1"/>
    <col min="13323" max="13325" width="11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5" width="7.625" style="568" bestFit="1" customWidth="1"/>
    <col min="13576" max="13576" width="2.25" style="568" bestFit="1" customWidth="1"/>
    <col min="13577" max="13577" width="4.375" style="568" bestFit="1" customWidth="1"/>
    <col min="13578" max="13578" width="8.375" style="568" bestFit="1" customWidth="1"/>
    <col min="13579" max="13581" width="11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1" width="7.625" style="568" bestFit="1" customWidth="1"/>
    <col min="13832" max="13832" width="2.25" style="568" bestFit="1" customWidth="1"/>
    <col min="13833" max="13833" width="4.375" style="568" bestFit="1" customWidth="1"/>
    <col min="13834" max="13834" width="8.375" style="568" bestFit="1" customWidth="1"/>
    <col min="13835" max="13837" width="11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7" width="7.625" style="568" bestFit="1" customWidth="1"/>
    <col min="14088" max="14088" width="2.25" style="568" bestFit="1" customWidth="1"/>
    <col min="14089" max="14089" width="4.375" style="568" bestFit="1" customWidth="1"/>
    <col min="14090" max="14090" width="8.375" style="568" bestFit="1" customWidth="1"/>
    <col min="14091" max="14093" width="11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3" width="7.625" style="568" bestFit="1" customWidth="1"/>
    <col min="14344" max="14344" width="2.25" style="568" bestFit="1" customWidth="1"/>
    <col min="14345" max="14345" width="4.375" style="568" bestFit="1" customWidth="1"/>
    <col min="14346" max="14346" width="8.375" style="568" bestFit="1" customWidth="1"/>
    <col min="14347" max="14349" width="11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599" width="7.625" style="568" bestFit="1" customWidth="1"/>
    <col min="14600" max="14600" width="2.25" style="568" bestFit="1" customWidth="1"/>
    <col min="14601" max="14601" width="4.375" style="568" bestFit="1" customWidth="1"/>
    <col min="14602" max="14602" width="8.375" style="568" bestFit="1" customWidth="1"/>
    <col min="14603" max="14605" width="11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5" width="7.625" style="568" bestFit="1" customWidth="1"/>
    <col min="14856" max="14856" width="2.25" style="568" bestFit="1" customWidth="1"/>
    <col min="14857" max="14857" width="4.375" style="568" bestFit="1" customWidth="1"/>
    <col min="14858" max="14858" width="8.375" style="568" bestFit="1" customWidth="1"/>
    <col min="14859" max="14861" width="11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1" width="7.625" style="568" bestFit="1" customWidth="1"/>
    <col min="15112" max="15112" width="2.25" style="568" bestFit="1" customWidth="1"/>
    <col min="15113" max="15113" width="4.375" style="568" bestFit="1" customWidth="1"/>
    <col min="15114" max="15114" width="8.375" style="568" bestFit="1" customWidth="1"/>
    <col min="15115" max="15117" width="11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7" width="7.625" style="568" bestFit="1" customWidth="1"/>
    <col min="15368" max="15368" width="2.25" style="568" bestFit="1" customWidth="1"/>
    <col min="15369" max="15369" width="4.375" style="568" bestFit="1" customWidth="1"/>
    <col min="15370" max="15370" width="8.375" style="568" bestFit="1" customWidth="1"/>
    <col min="15371" max="15373" width="11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3" width="7.625" style="568" bestFit="1" customWidth="1"/>
    <col min="15624" max="15624" width="2.25" style="568" bestFit="1" customWidth="1"/>
    <col min="15625" max="15625" width="4.375" style="568" bestFit="1" customWidth="1"/>
    <col min="15626" max="15626" width="8.375" style="568" bestFit="1" customWidth="1"/>
    <col min="15627" max="15629" width="11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79" width="7.625" style="568" bestFit="1" customWidth="1"/>
    <col min="15880" max="15880" width="2.25" style="568" bestFit="1" customWidth="1"/>
    <col min="15881" max="15881" width="4.375" style="568" bestFit="1" customWidth="1"/>
    <col min="15882" max="15882" width="8.375" style="568" bestFit="1" customWidth="1"/>
    <col min="15883" max="15885" width="11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5" width="7.625" style="568" bestFit="1" customWidth="1"/>
    <col min="16136" max="16136" width="2.25" style="568" bestFit="1" customWidth="1"/>
    <col min="16137" max="16137" width="4.375" style="568" bestFit="1" customWidth="1"/>
    <col min="16138" max="16138" width="8.375" style="568" bestFit="1" customWidth="1"/>
    <col min="16139" max="16141" width="11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826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401</v>
      </c>
      <c r="J9" s="567" t="s">
        <v>327</v>
      </c>
      <c r="K9" s="567" t="s">
        <v>329</v>
      </c>
      <c r="L9" s="567" t="s">
        <v>330</v>
      </c>
      <c r="M9" s="567" t="s">
        <v>331</v>
      </c>
      <c r="N9" s="567" t="s">
        <v>1011</v>
      </c>
      <c r="O9" s="567" t="s">
        <v>1012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0.14524305555555556</v>
      </c>
      <c r="E10" s="567">
        <v>100392</v>
      </c>
      <c r="F10" s="567" t="s">
        <v>1001</v>
      </c>
      <c r="G10" s="567" t="s">
        <v>326</v>
      </c>
      <c r="H10" s="567">
        <v>0</v>
      </c>
      <c r="I10" s="567">
        <v>401</v>
      </c>
      <c r="J10" s="567" t="s">
        <v>327</v>
      </c>
      <c r="K10" s="567" t="s">
        <v>329</v>
      </c>
      <c r="L10" s="567" t="s">
        <v>330</v>
      </c>
      <c r="M10" s="567" t="s">
        <v>331</v>
      </c>
      <c r="N10" s="567" t="s">
        <v>1011</v>
      </c>
      <c r="O10" s="567" t="s">
        <v>1012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0.1545138888888889</v>
      </c>
      <c r="E11" s="567">
        <v>6408</v>
      </c>
      <c r="F11" s="567" t="s">
        <v>1001</v>
      </c>
      <c r="G11" s="567" t="s">
        <v>326</v>
      </c>
      <c r="H11" s="567">
        <v>0</v>
      </c>
      <c r="I11" s="567">
        <v>97</v>
      </c>
      <c r="J11" s="567" t="s">
        <v>327</v>
      </c>
      <c r="K11" s="567" t="s">
        <v>1002</v>
      </c>
      <c r="L11" s="567" t="s">
        <v>1003</v>
      </c>
      <c r="M11" s="567" t="s">
        <v>1004</v>
      </c>
      <c r="N11" s="567" t="s">
        <v>1011</v>
      </c>
      <c r="O11" s="567" t="s">
        <v>1012</v>
      </c>
      <c r="P11" s="567" t="s">
        <v>1007</v>
      </c>
      <c r="Q11" s="567" t="s">
        <v>1008</v>
      </c>
      <c r="R11" s="567">
        <v>80</v>
      </c>
    </row>
    <row r="12" spans="1:18" ht="15" x14ac:dyDescent="0.2">
      <c r="A12" s="567"/>
      <c r="B12" s="567"/>
      <c r="C12" s="567"/>
      <c r="D12" s="569">
        <v>0.21326388888888889</v>
      </c>
      <c r="E12" s="567">
        <v>40608</v>
      </c>
      <c r="F12" s="567" t="s">
        <v>1001</v>
      </c>
      <c r="G12" s="567" t="s">
        <v>326</v>
      </c>
      <c r="H12" s="567">
        <v>0</v>
      </c>
      <c r="I12" s="567">
        <v>97</v>
      </c>
      <c r="J12" s="567" t="s">
        <v>327</v>
      </c>
      <c r="K12" s="567" t="s">
        <v>1002</v>
      </c>
      <c r="L12" s="567" t="s">
        <v>1003</v>
      </c>
      <c r="M12" s="567" t="s">
        <v>1004</v>
      </c>
      <c r="N12" s="567" t="s">
        <v>1011</v>
      </c>
      <c r="O12" s="567" t="s">
        <v>1012</v>
      </c>
      <c r="P12" s="567" t="s">
        <v>1009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0.21701388888888887</v>
      </c>
      <c r="E13" s="567">
        <v>2592</v>
      </c>
      <c r="F13" s="567" t="s">
        <v>1001</v>
      </c>
      <c r="G13" s="567" t="s">
        <v>326</v>
      </c>
      <c r="H13" s="567">
        <v>0</v>
      </c>
      <c r="I13" s="567">
        <v>401</v>
      </c>
      <c r="J13" s="567" t="s">
        <v>327</v>
      </c>
      <c r="K13" s="567" t="s">
        <v>1002</v>
      </c>
      <c r="L13" s="567" t="s">
        <v>1003</v>
      </c>
      <c r="M13" s="567" t="s">
        <v>1004</v>
      </c>
      <c r="N13" s="567" t="s">
        <v>1011</v>
      </c>
      <c r="O13" s="567" t="s">
        <v>1012</v>
      </c>
      <c r="P13" s="567" t="s">
        <v>1007</v>
      </c>
      <c r="Q13" s="567" t="s">
        <v>1008</v>
      </c>
      <c r="R13" s="567">
        <v>80</v>
      </c>
    </row>
    <row r="14" spans="1:18" ht="15" x14ac:dyDescent="0.2">
      <c r="A14" s="567"/>
      <c r="B14" s="567"/>
      <c r="C14" s="567"/>
      <c r="D14" s="569">
        <v>0.31493055555555555</v>
      </c>
      <c r="E14" s="567">
        <v>67680</v>
      </c>
      <c r="F14" s="567" t="s">
        <v>1001</v>
      </c>
      <c r="G14" s="567" t="s">
        <v>326</v>
      </c>
      <c r="H14" s="567">
        <v>0</v>
      </c>
      <c r="I14" s="567">
        <v>401</v>
      </c>
      <c r="J14" s="567" t="s">
        <v>327</v>
      </c>
      <c r="K14" s="567" t="s">
        <v>1002</v>
      </c>
      <c r="L14" s="567" t="s">
        <v>1003</v>
      </c>
      <c r="M14" s="567" t="s">
        <v>1004</v>
      </c>
      <c r="N14" s="567" t="s">
        <v>1011</v>
      </c>
      <c r="O14" s="567" t="s">
        <v>1012</v>
      </c>
      <c r="P14" s="567" t="s">
        <v>1009</v>
      </c>
      <c r="Q14" s="567" t="s">
        <v>1008</v>
      </c>
      <c r="R14" s="567">
        <v>80</v>
      </c>
    </row>
    <row r="15" spans="1:18" ht="15" x14ac:dyDescent="0.2">
      <c r="A15" s="567"/>
      <c r="B15" s="567"/>
      <c r="C15" s="567"/>
      <c r="D15" s="569">
        <v>0.32118055555555552</v>
      </c>
      <c r="E15" s="567">
        <v>4320</v>
      </c>
      <c r="F15" s="567" t="s">
        <v>1001</v>
      </c>
      <c r="G15" s="567" t="s">
        <v>326</v>
      </c>
      <c r="H15" s="567">
        <v>0</v>
      </c>
      <c r="I15" s="567">
        <v>39</v>
      </c>
      <c r="J15" s="567" t="s">
        <v>327</v>
      </c>
      <c r="K15" s="567" t="s">
        <v>329</v>
      </c>
      <c r="L15" s="567" t="s">
        <v>330</v>
      </c>
      <c r="M15" s="567" t="s">
        <v>331</v>
      </c>
      <c r="N15" s="567" t="s">
        <v>1011</v>
      </c>
      <c r="O15" s="567" t="s">
        <v>1012</v>
      </c>
      <c r="P15" s="567" t="s">
        <v>1007</v>
      </c>
      <c r="Q15" s="567" t="s">
        <v>1008</v>
      </c>
      <c r="R15" s="567">
        <v>80</v>
      </c>
    </row>
    <row r="16" spans="1:18" ht="15" x14ac:dyDescent="0.2">
      <c r="A16" s="567"/>
      <c r="B16" s="567"/>
      <c r="C16" s="567"/>
      <c r="D16" s="569">
        <v>0.33194444444444443</v>
      </c>
      <c r="E16" s="567">
        <v>7440</v>
      </c>
      <c r="F16" s="567" t="s">
        <v>1001</v>
      </c>
      <c r="G16" s="567" t="s">
        <v>326</v>
      </c>
      <c r="H16" s="567">
        <v>0</v>
      </c>
      <c r="I16" s="567">
        <v>39</v>
      </c>
      <c r="J16" s="567" t="s">
        <v>327</v>
      </c>
      <c r="K16" s="567" t="s">
        <v>329</v>
      </c>
      <c r="L16" s="567" t="s">
        <v>330</v>
      </c>
      <c r="M16" s="567" t="s">
        <v>331</v>
      </c>
      <c r="N16" s="567" t="s">
        <v>1011</v>
      </c>
      <c r="O16" s="567" t="s">
        <v>1012</v>
      </c>
      <c r="P16" s="567" t="s">
        <v>1009</v>
      </c>
      <c r="Q16" s="567" t="s">
        <v>1008</v>
      </c>
      <c r="R16" s="567">
        <v>80</v>
      </c>
    </row>
    <row r="17" spans="1:6" ht="15" x14ac:dyDescent="0.2">
      <c r="A17" s="567"/>
      <c r="B17" s="567"/>
      <c r="C17" s="567"/>
      <c r="D17" s="569">
        <v>0.33194444444444443</v>
      </c>
      <c r="E17" s="567">
        <v>0</v>
      </c>
      <c r="F17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7" width="7.625" style="568" bestFit="1" customWidth="1"/>
    <col min="8" max="8" width="2.25" style="568" bestFit="1" customWidth="1"/>
    <col min="9" max="9" width="4.375" style="568" bestFit="1" customWidth="1"/>
    <col min="10" max="10" width="8.375" style="568" bestFit="1" customWidth="1"/>
    <col min="11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3" width="7.625" style="568" bestFit="1" customWidth="1"/>
    <col min="264" max="264" width="2.25" style="568" bestFit="1" customWidth="1"/>
    <col min="265" max="265" width="4.375" style="568" bestFit="1" customWidth="1"/>
    <col min="266" max="266" width="8.375" style="568" bestFit="1" customWidth="1"/>
    <col min="267" max="269" width="8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19" width="7.625" style="568" bestFit="1" customWidth="1"/>
    <col min="520" max="520" width="2.25" style="568" bestFit="1" customWidth="1"/>
    <col min="521" max="521" width="4.375" style="568" bestFit="1" customWidth="1"/>
    <col min="522" max="522" width="8.375" style="568" bestFit="1" customWidth="1"/>
    <col min="523" max="525" width="8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5" width="7.625" style="568" bestFit="1" customWidth="1"/>
    <col min="776" max="776" width="2.25" style="568" bestFit="1" customWidth="1"/>
    <col min="777" max="777" width="4.375" style="568" bestFit="1" customWidth="1"/>
    <col min="778" max="778" width="8.375" style="568" bestFit="1" customWidth="1"/>
    <col min="779" max="781" width="8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1" width="7.625" style="568" bestFit="1" customWidth="1"/>
    <col min="1032" max="1032" width="2.25" style="568" bestFit="1" customWidth="1"/>
    <col min="1033" max="1033" width="4.375" style="568" bestFit="1" customWidth="1"/>
    <col min="1034" max="1034" width="8.375" style="568" bestFit="1" customWidth="1"/>
    <col min="1035" max="1037" width="8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7" width="7.625" style="568" bestFit="1" customWidth="1"/>
    <col min="1288" max="1288" width="2.25" style="568" bestFit="1" customWidth="1"/>
    <col min="1289" max="1289" width="4.375" style="568" bestFit="1" customWidth="1"/>
    <col min="1290" max="1290" width="8.375" style="568" bestFit="1" customWidth="1"/>
    <col min="1291" max="1293" width="8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3" width="7.625" style="568" bestFit="1" customWidth="1"/>
    <col min="1544" max="1544" width="2.25" style="568" bestFit="1" customWidth="1"/>
    <col min="1545" max="1545" width="4.375" style="568" bestFit="1" customWidth="1"/>
    <col min="1546" max="1546" width="8.375" style="568" bestFit="1" customWidth="1"/>
    <col min="1547" max="1549" width="8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799" width="7.625" style="568" bestFit="1" customWidth="1"/>
    <col min="1800" max="1800" width="2.25" style="568" bestFit="1" customWidth="1"/>
    <col min="1801" max="1801" width="4.375" style="568" bestFit="1" customWidth="1"/>
    <col min="1802" max="1802" width="8.375" style="568" bestFit="1" customWidth="1"/>
    <col min="1803" max="1805" width="8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5" width="7.625" style="568" bestFit="1" customWidth="1"/>
    <col min="2056" max="2056" width="2.25" style="568" bestFit="1" customWidth="1"/>
    <col min="2057" max="2057" width="4.375" style="568" bestFit="1" customWidth="1"/>
    <col min="2058" max="2058" width="8.375" style="568" bestFit="1" customWidth="1"/>
    <col min="2059" max="2061" width="8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1" width="7.625" style="568" bestFit="1" customWidth="1"/>
    <col min="2312" max="2312" width="2.25" style="568" bestFit="1" customWidth="1"/>
    <col min="2313" max="2313" width="4.375" style="568" bestFit="1" customWidth="1"/>
    <col min="2314" max="2314" width="8.375" style="568" bestFit="1" customWidth="1"/>
    <col min="2315" max="2317" width="8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7" width="7.625" style="568" bestFit="1" customWidth="1"/>
    <col min="2568" max="2568" width="2.25" style="568" bestFit="1" customWidth="1"/>
    <col min="2569" max="2569" width="4.375" style="568" bestFit="1" customWidth="1"/>
    <col min="2570" max="2570" width="8.375" style="568" bestFit="1" customWidth="1"/>
    <col min="2571" max="2573" width="8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3" width="7.625" style="568" bestFit="1" customWidth="1"/>
    <col min="2824" max="2824" width="2.25" style="568" bestFit="1" customWidth="1"/>
    <col min="2825" max="2825" width="4.375" style="568" bestFit="1" customWidth="1"/>
    <col min="2826" max="2826" width="8.375" style="568" bestFit="1" customWidth="1"/>
    <col min="2827" max="2829" width="8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79" width="7.625" style="568" bestFit="1" customWidth="1"/>
    <col min="3080" max="3080" width="2.25" style="568" bestFit="1" customWidth="1"/>
    <col min="3081" max="3081" width="4.375" style="568" bestFit="1" customWidth="1"/>
    <col min="3082" max="3082" width="8.375" style="568" bestFit="1" customWidth="1"/>
    <col min="3083" max="3085" width="8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5" width="7.625" style="568" bestFit="1" customWidth="1"/>
    <col min="3336" max="3336" width="2.25" style="568" bestFit="1" customWidth="1"/>
    <col min="3337" max="3337" width="4.375" style="568" bestFit="1" customWidth="1"/>
    <col min="3338" max="3338" width="8.375" style="568" bestFit="1" customWidth="1"/>
    <col min="3339" max="3341" width="8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1" width="7.625" style="568" bestFit="1" customWidth="1"/>
    <col min="3592" max="3592" width="2.25" style="568" bestFit="1" customWidth="1"/>
    <col min="3593" max="3593" width="4.375" style="568" bestFit="1" customWidth="1"/>
    <col min="3594" max="3594" width="8.375" style="568" bestFit="1" customWidth="1"/>
    <col min="3595" max="3597" width="8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7" width="7.625" style="568" bestFit="1" customWidth="1"/>
    <col min="3848" max="3848" width="2.25" style="568" bestFit="1" customWidth="1"/>
    <col min="3849" max="3849" width="4.375" style="568" bestFit="1" customWidth="1"/>
    <col min="3850" max="3850" width="8.375" style="568" bestFit="1" customWidth="1"/>
    <col min="3851" max="3853" width="8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3" width="7.625" style="568" bestFit="1" customWidth="1"/>
    <col min="4104" max="4104" width="2.25" style="568" bestFit="1" customWidth="1"/>
    <col min="4105" max="4105" width="4.375" style="568" bestFit="1" customWidth="1"/>
    <col min="4106" max="4106" width="8.375" style="568" bestFit="1" customWidth="1"/>
    <col min="4107" max="4109" width="8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59" width="7.625" style="568" bestFit="1" customWidth="1"/>
    <col min="4360" max="4360" width="2.25" style="568" bestFit="1" customWidth="1"/>
    <col min="4361" max="4361" width="4.375" style="568" bestFit="1" customWidth="1"/>
    <col min="4362" max="4362" width="8.375" style="568" bestFit="1" customWidth="1"/>
    <col min="4363" max="4365" width="8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5" width="7.625" style="568" bestFit="1" customWidth="1"/>
    <col min="4616" max="4616" width="2.25" style="568" bestFit="1" customWidth="1"/>
    <col min="4617" max="4617" width="4.375" style="568" bestFit="1" customWidth="1"/>
    <col min="4618" max="4618" width="8.375" style="568" bestFit="1" customWidth="1"/>
    <col min="4619" max="4621" width="8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1" width="7.625" style="568" bestFit="1" customWidth="1"/>
    <col min="4872" max="4872" width="2.25" style="568" bestFit="1" customWidth="1"/>
    <col min="4873" max="4873" width="4.375" style="568" bestFit="1" customWidth="1"/>
    <col min="4874" max="4874" width="8.375" style="568" bestFit="1" customWidth="1"/>
    <col min="4875" max="4877" width="8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7" width="7.625" style="568" bestFit="1" customWidth="1"/>
    <col min="5128" max="5128" width="2.25" style="568" bestFit="1" customWidth="1"/>
    <col min="5129" max="5129" width="4.375" style="568" bestFit="1" customWidth="1"/>
    <col min="5130" max="5130" width="8.375" style="568" bestFit="1" customWidth="1"/>
    <col min="5131" max="5133" width="8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3" width="7.625" style="568" bestFit="1" customWidth="1"/>
    <col min="5384" max="5384" width="2.25" style="568" bestFit="1" customWidth="1"/>
    <col min="5385" max="5385" width="4.375" style="568" bestFit="1" customWidth="1"/>
    <col min="5386" max="5386" width="8.375" style="568" bestFit="1" customWidth="1"/>
    <col min="5387" max="5389" width="8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39" width="7.625" style="568" bestFit="1" customWidth="1"/>
    <col min="5640" max="5640" width="2.25" style="568" bestFit="1" customWidth="1"/>
    <col min="5641" max="5641" width="4.375" style="568" bestFit="1" customWidth="1"/>
    <col min="5642" max="5642" width="8.375" style="568" bestFit="1" customWidth="1"/>
    <col min="5643" max="5645" width="8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5" width="7.625" style="568" bestFit="1" customWidth="1"/>
    <col min="5896" max="5896" width="2.25" style="568" bestFit="1" customWidth="1"/>
    <col min="5897" max="5897" width="4.375" style="568" bestFit="1" customWidth="1"/>
    <col min="5898" max="5898" width="8.375" style="568" bestFit="1" customWidth="1"/>
    <col min="5899" max="5901" width="8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1" width="7.625" style="568" bestFit="1" customWidth="1"/>
    <col min="6152" max="6152" width="2.25" style="568" bestFit="1" customWidth="1"/>
    <col min="6153" max="6153" width="4.375" style="568" bestFit="1" customWidth="1"/>
    <col min="6154" max="6154" width="8.375" style="568" bestFit="1" customWidth="1"/>
    <col min="6155" max="6157" width="8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7" width="7.625" style="568" bestFit="1" customWidth="1"/>
    <col min="6408" max="6408" width="2.25" style="568" bestFit="1" customWidth="1"/>
    <col min="6409" max="6409" width="4.375" style="568" bestFit="1" customWidth="1"/>
    <col min="6410" max="6410" width="8.375" style="568" bestFit="1" customWidth="1"/>
    <col min="6411" max="6413" width="8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3" width="7.625" style="568" bestFit="1" customWidth="1"/>
    <col min="6664" max="6664" width="2.25" style="568" bestFit="1" customWidth="1"/>
    <col min="6665" max="6665" width="4.375" style="568" bestFit="1" customWidth="1"/>
    <col min="6666" max="6666" width="8.375" style="568" bestFit="1" customWidth="1"/>
    <col min="6667" max="6669" width="8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19" width="7.625" style="568" bestFit="1" customWidth="1"/>
    <col min="6920" max="6920" width="2.25" style="568" bestFit="1" customWidth="1"/>
    <col min="6921" max="6921" width="4.375" style="568" bestFit="1" customWidth="1"/>
    <col min="6922" max="6922" width="8.375" style="568" bestFit="1" customWidth="1"/>
    <col min="6923" max="6925" width="8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5" width="7.625" style="568" bestFit="1" customWidth="1"/>
    <col min="7176" max="7176" width="2.25" style="568" bestFit="1" customWidth="1"/>
    <col min="7177" max="7177" width="4.375" style="568" bestFit="1" customWidth="1"/>
    <col min="7178" max="7178" width="8.375" style="568" bestFit="1" customWidth="1"/>
    <col min="7179" max="7181" width="8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1" width="7.625" style="568" bestFit="1" customWidth="1"/>
    <col min="7432" max="7432" width="2.25" style="568" bestFit="1" customWidth="1"/>
    <col min="7433" max="7433" width="4.375" style="568" bestFit="1" customWidth="1"/>
    <col min="7434" max="7434" width="8.375" style="568" bestFit="1" customWidth="1"/>
    <col min="7435" max="7437" width="8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7" width="7.625" style="568" bestFit="1" customWidth="1"/>
    <col min="7688" max="7688" width="2.25" style="568" bestFit="1" customWidth="1"/>
    <col min="7689" max="7689" width="4.375" style="568" bestFit="1" customWidth="1"/>
    <col min="7690" max="7690" width="8.375" style="568" bestFit="1" customWidth="1"/>
    <col min="7691" max="7693" width="8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3" width="7.625" style="568" bestFit="1" customWidth="1"/>
    <col min="7944" max="7944" width="2.25" style="568" bestFit="1" customWidth="1"/>
    <col min="7945" max="7945" width="4.375" style="568" bestFit="1" customWidth="1"/>
    <col min="7946" max="7946" width="8.375" style="568" bestFit="1" customWidth="1"/>
    <col min="7947" max="7949" width="8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199" width="7.625" style="568" bestFit="1" customWidth="1"/>
    <col min="8200" max="8200" width="2.25" style="568" bestFit="1" customWidth="1"/>
    <col min="8201" max="8201" width="4.375" style="568" bestFit="1" customWidth="1"/>
    <col min="8202" max="8202" width="8.375" style="568" bestFit="1" customWidth="1"/>
    <col min="8203" max="8205" width="8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5" width="7.625" style="568" bestFit="1" customWidth="1"/>
    <col min="8456" max="8456" width="2.25" style="568" bestFit="1" customWidth="1"/>
    <col min="8457" max="8457" width="4.375" style="568" bestFit="1" customWidth="1"/>
    <col min="8458" max="8458" width="8.375" style="568" bestFit="1" customWidth="1"/>
    <col min="8459" max="8461" width="8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1" width="7.625" style="568" bestFit="1" customWidth="1"/>
    <col min="8712" max="8712" width="2.25" style="568" bestFit="1" customWidth="1"/>
    <col min="8713" max="8713" width="4.375" style="568" bestFit="1" customWidth="1"/>
    <col min="8714" max="8714" width="8.375" style="568" bestFit="1" customWidth="1"/>
    <col min="8715" max="8717" width="8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7" width="7.625" style="568" bestFit="1" customWidth="1"/>
    <col min="8968" max="8968" width="2.25" style="568" bestFit="1" customWidth="1"/>
    <col min="8969" max="8969" width="4.375" style="568" bestFit="1" customWidth="1"/>
    <col min="8970" max="8970" width="8.375" style="568" bestFit="1" customWidth="1"/>
    <col min="8971" max="8973" width="8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3" width="7.625" style="568" bestFit="1" customWidth="1"/>
    <col min="9224" max="9224" width="2.25" style="568" bestFit="1" customWidth="1"/>
    <col min="9225" max="9225" width="4.375" style="568" bestFit="1" customWidth="1"/>
    <col min="9226" max="9226" width="8.375" style="568" bestFit="1" customWidth="1"/>
    <col min="9227" max="9229" width="8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79" width="7.625" style="568" bestFit="1" customWidth="1"/>
    <col min="9480" max="9480" width="2.25" style="568" bestFit="1" customWidth="1"/>
    <col min="9481" max="9481" width="4.375" style="568" bestFit="1" customWidth="1"/>
    <col min="9482" max="9482" width="8.375" style="568" bestFit="1" customWidth="1"/>
    <col min="9483" max="9485" width="8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5" width="7.625" style="568" bestFit="1" customWidth="1"/>
    <col min="9736" max="9736" width="2.25" style="568" bestFit="1" customWidth="1"/>
    <col min="9737" max="9737" width="4.375" style="568" bestFit="1" customWidth="1"/>
    <col min="9738" max="9738" width="8.375" style="568" bestFit="1" customWidth="1"/>
    <col min="9739" max="9741" width="8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1" width="7.625" style="568" bestFit="1" customWidth="1"/>
    <col min="9992" max="9992" width="2.25" style="568" bestFit="1" customWidth="1"/>
    <col min="9993" max="9993" width="4.375" style="568" bestFit="1" customWidth="1"/>
    <col min="9994" max="9994" width="8.375" style="568" bestFit="1" customWidth="1"/>
    <col min="9995" max="9997" width="8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7" width="7.625" style="568" bestFit="1" customWidth="1"/>
    <col min="10248" max="10248" width="2.25" style="568" bestFit="1" customWidth="1"/>
    <col min="10249" max="10249" width="4.375" style="568" bestFit="1" customWidth="1"/>
    <col min="10250" max="10250" width="8.375" style="568" bestFit="1" customWidth="1"/>
    <col min="10251" max="10253" width="8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3" width="7.625" style="568" bestFit="1" customWidth="1"/>
    <col min="10504" max="10504" width="2.25" style="568" bestFit="1" customWidth="1"/>
    <col min="10505" max="10505" width="4.375" style="568" bestFit="1" customWidth="1"/>
    <col min="10506" max="10506" width="8.375" style="568" bestFit="1" customWidth="1"/>
    <col min="10507" max="10509" width="8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59" width="7.625" style="568" bestFit="1" customWidth="1"/>
    <col min="10760" max="10760" width="2.25" style="568" bestFit="1" customWidth="1"/>
    <col min="10761" max="10761" width="4.375" style="568" bestFit="1" customWidth="1"/>
    <col min="10762" max="10762" width="8.375" style="568" bestFit="1" customWidth="1"/>
    <col min="10763" max="10765" width="8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5" width="7.625" style="568" bestFit="1" customWidth="1"/>
    <col min="11016" max="11016" width="2.25" style="568" bestFit="1" customWidth="1"/>
    <col min="11017" max="11017" width="4.375" style="568" bestFit="1" customWidth="1"/>
    <col min="11018" max="11018" width="8.375" style="568" bestFit="1" customWidth="1"/>
    <col min="11019" max="11021" width="8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1" width="7.625" style="568" bestFit="1" customWidth="1"/>
    <col min="11272" max="11272" width="2.25" style="568" bestFit="1" customWidth="1"/>
    <col min="11273" max="11273" width="4.375" style="568" bestFit="1" customWidth="1"/>
    <col min="11274" max="11274" width="8.375" style="568" bestFit="1" customWidth="1"/>
    <col min="11275" max="11277" width="8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7" width="7.625" style="568" bestFit="1" customWidth="1"/>
    <col min="11528" max="11528" width="2.25" style="568" bestFit="1" customWidth="1"/>
    <col min="11529" max="11529" width="4.375" style="568" bestFit="1" customWidth="1"/>
    <col min="11530" max="11530" width="8.375" style="568" bestFit="1" customWidth="1"/>
    <col min="11531" max="11533" width="8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3" width="7.625" style="568" bestFit="1" customWidth="1"/>
    <col min="11784" max="11784" width="2.25" style="568" bestFit="1" customWidth="1"/>
    <col min="11785" max="11785" width="4.375" style="568" bestFit="1" customWidth="1"/>
    <col min="11786" max="11786" width="8.375" style="568" bestFit="1" customWidth="1"/>
    <col min="11787" max="11789" width="8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39" width="7.625" style="568" bestFit="1" customWidth="1"/>
    <col min="12040" max="12040" width="2.25" style="568" bestFit="1" customWidth="1"/>
    <col min="12041" max="12041" width="4.375" style="568" bestFit="1" customWidth="1"/>
    <col min="12042" max="12042" width="8.375" style="568" bestFit="1" customWidth="1"/>
    <col min="12043" max="12045" width="8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5" width="7.625" style="568" bestFit="1" customWidth="1"/>
    <col min="12296" max="12296" width="2.25" style="568" bestFit="1" customWidth="1"/>
    <col min="12297" max="12297" width="4.375" style="568" bestFit="1" customWidth="1"/>
    <col min="12298" max="12298" width="8.375" style="568" bestFit="1" customWidth="1"/>
    <col min="12299" max="12301" width="8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1" width="7.625" style="568" bestFit="1" customWidth="1"/>
    <col min="12552" max="12552" width="2.25" style="568" bestFit="1" customWidth="1"/>
    <col min="12553" max="12553" width="4.375" style="568" bestFit="1" customWidth="1"/>
    <col min="12554" max="12554" width="8.375" style="568" bestFit="1" customWidth="1"/>
    <col min="12555" max="12557" width="8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7" width="7.625" style="568" bestFit="1" customWidth="1"/>
    <col min="12808" max="12808" width="2.25" style="568" bestFit="1" customWidth="1"/>
    <col min="12809" max="12809" width="4.375" style="568" bestFit="1" customWidth="1"/>
    <col min="12810" max="12810" width="8.375" style="568" bestFit="1" customWidth="1"/>
    <col min="12811" max="12813" width="8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3" width="7.625" style="568" bestFit="1" customWidth="1"/>
    <col min="13064" max="13064" width="2.25" style="568" bestFit="1" customWidth="1"/>
    <col min="13065" max="13065" width="4.375" style="568" bestFit="1" customWidth="1"/>
    <col min="13066" max="13066" width="8.375" style="568" bestFit="1" customWidth="1"/>
    <col min="13067" max="13069" width="8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19" width="7.625" style="568" bestFit="1" customWidth="1"/>
    <col min="13320" max="13320" width="2.25" style="568" bestFit="1" customWidth="1"/>
    <col min="13321" max="13321" width="4.375" style="568" bestFit="1" customWidth="1"/>
    <col min="13322" max="13322" width="8.375" style="568" bestFit="1" customWidth="1"/>
    <col min="13323" max="13325" width="8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5" width="7.625" style="568" bestFit="1" customWidth="1"/>
    <col min="13576" max="13576" width="2.25" style="568" bestFit="1" customWidth="1"/>
    <col min="13577" max="13577" width="4.375" style="568" bestFit="1" customWidth="1"/>
    <col min="13578" max="13578" width="8.375" style="568" bestFit="1" customWidth="1"/>
    <col min="13579" max="13581" width="8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1" width="7.625" style="568" bestFit="1" customWidth="1"/>
    <col min="13832" max="13832" width="2.25" style="568" bestFit="1" customWidth="1"/>
    <col min="13833" max="13833" width="4.375" style="568" bestFit="1" customWidth="1"/>
    <col min="13834" max="13834" width="8.375" style="568" bestFit="1" customWidth="1"/>
    <col min="13835" max="13837" width="8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7" width="7.625" style="568" bestFit="1" customWidth="1"/>
    <col min="14088" max="14088" width="2.25" style="568" bestFit="1" customWidth="1"/>
    <col min="14089" max="14089" width="4.375" style="568" bestFit="1" customWidth="1"/>
    <col min="14090" max="14090" width="8.375" style="568" bestFit="1" customWidth="1"/>
    <col min="14091" max="14093" width="8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3" width="7.625" style="568" bestFit="1" customWidth="1"/>
    <col min="14344" max="14344" width="2.25" style="568" bestFit="1" customWidth="1"/>
    <col min="14345" max="14345" width="4.375" style="568" bestFit="1" customWidth="1"/>
    <col min="14346" max="14346" width="8.375" style="568" bestFit="1" customWidth="1"/>
    <col min="14347" max="14349" width="8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599" width="7.625" style="568" bestFit="1" customWidth="1"/>
    <col min="14600" max="14600" width="2.25" style="568" bestFit="1" customWidth="1"/>
    <col min="14601" max="14601" width="4.375" style="568" bestFit="1" customWidth="1"/>
    <col min="14602" max="14602" width="8.375" style="568" bestFit="1" customWidth="1"/>
    <col min="14603" max="14605" width="8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5" width="7.625" style="568" bestFit="1" customWidth="1"/>
    <col min="14856" max="14856" width="2.25" style="568" bestFit="1" customWidth="1"/>
    <col min="14857" max="14857" width="4.375" style="568" bestFit="1" customWidth="1"/>
    <col min="14858" max="14858" width="8.375" style="568" bestFit="1" customWidth="1"/>
    <col min="14859" max="14861" width="8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1" width="7.625" style="568" bestFit="1" customWidth="1"/>
    <col min="15112" max="15112" width="2.25" style="568" bestFit="1" customWidth="1"/>
    <col min="15113" max="15113" width="4.375" style="568" bestFit="1" customWidth="1"/>
    <col min="15114" max="15114" width="8.375" style="568" bestFit="1" customWidth="1"/>
    <col min="15115" max="15117" width="8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7" width="7.625" style="568" bestFit="1" customWidth="1"/>
    <col min="15368" max="15368" width="2.25" style="568" bestFit="1" customWidth="1"/>
    <col min="15369" max="15369" width="4.375" style="568" bestFit="1" customWidth="1"/>
    <col min="15370" max="15370" width="8.375" style="568" bestFit="1" customWidth="1"/>
    <col min="15371" max="15373" width="8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3" width="7.625" style="568" bestFit="1" customWidth="1"/>
    <col min="15624" max="15624" width="2.25" style="568" bestFit="1" customWidth="1"/>
    <col min="15625" max="15625" width="4.375" style="568" bestFit="1" customWidth="1"/>
    <col min="15626" max="15626" width="8.375" style="568" bestFit="1" customWidth="1"/>
    <col min="15627" max="15629" width="8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79" width="7.625" style="568" bestFit="1" customWidth="1"/>
    <col min="15880" max="15880" width="2.25" style="568" bestFit="1" customWidth="1"/>
    <col min="15881" max="15881" width="4.375" style="568" bestFit="1" customWidth="1"/>
    <col min="15882" max="15882" width="8.375" style="568" bestFit="1" customWidth="1"/>
    <col min="15883" max="15885" width="8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5" width="7.625" style="568" bestFit="1" customWidth="1"/>
    <col min="16136" max="16136" width="2.25" style="568" bestFit="1" customWidth="1"/>
    <col min="16137" max="16137" width="4.375" style="568" bestFit="1" customWidth="1"/>
    <col min="16138" max="16138" width="8.375" style="568" bestFit="1" customWidth="1"/>
    <col min="16139" max="16141" width="8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827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401</v>
      </c>
      <c r="J9" s="567" t="s">
        <v>327</v>
      </c>
      <c r="K9" s="567" t="s">
        <v>1002</v>
      </c>
      <c r="L9" s="567" t="s">
        <v>1003</v>
      </c>
      <c r="M9" s="567" t="s">
        <v>1004</v>
      </c>
      <c r="N9" s="567" t="s">
        <v>1011</v>
      </c>
      <c r="O9" s="567" t="s">
        <v>1012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0.1625462962962963</v>
      </c>
      <c r="E10" s="567">
        <v>112352</v>
      </c>
      <c r="F10" s="567" t="s">
        <v>1001</v>
      </c>
      <c r="G10" s="567" t="s">
        <v>326</v>
      </c>
      <c r="H10" s="567">
        <v>0</v>
      </c>
      <c r="I10" s="567">
        <v>401</v>
      </c>
      <c r="J10" s="567" t="s">
        <v>327</v>
      </c>
      <c r="K10" s="567" t="s">
        <v>1002</v>
      </c>
      <c r="L10" s="567" t="s">
        <v>1003</v>
      </c>
      <c r="M10" s="567" t="s">
        <v>1004</v>
      </c>
      <c r="N10" s="567" t="s">
        <v>1011</v>
      </c>
      <c r="O10" s="567" t="s">
        <v>1012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0.17291666666666669</v>
      </c>
      <c r="E11" s="567">
        <v>7168</v>
      </c>
      <c r="F11" s="567" t="s">
        <v>1001</v>
      </c>
      <c r="G11" s="567" t="s">
        <v>326</v>
      </c>
      <c r="H11" s="567">
        <v>0</v>
      </c>
      <c r="I11" s="567">
        <v>97</v>
      </c>
      <c r="J11" s="567" t="s">
        <v>327</v>
      </c>
      <c r="K11" s="567" t="s">
        <v>1002</v>
      </c>
      <c r="L11" s="567" t="s">
        <v>1003</v>
      </c>
      <c r="M11" s="567" t="s">
        <v>1004</v>
      </c>
      <c r="N11" s="567" t="s">
        <v>1013</v>
      </c>
      <c r="O11" s="567" t="s">
        <v>1014</v>
      </c>
      <c r="P11" s="567" t="s">
        <v>1007</v>
      </c>
      <c r="Q11" s="567" t="s">
        <v>1008</v>
      </c>
      <c r="R11" s="567">
        <v>80</v>
      </c>
    </row>
    <row r="12" spans="1:18" ht="15" x14ac:dyDescent="0.2">
      <c r="A12" s="567"/>
      <c r="B12" s="567"/>
      <c r="C12" s="567"/>
      <c r="D12" s="569">
        <v>0.28388888888888891</v>
      </c>
      <c r="E12" s="567">
        <v>76704</v>
      </c>
      <c r="F12" s="567" t="s">
        <v>1001</v>
      </c>
      <c r="G12" s="567" t="s">
        <v>326</v>
      </c>
      <c r="H12" s="567">
        <v>0</v>
      </c>
      <c r="I12" s="567">
        <v>97</v>
      </c>
      <c r="J12" s="567" t="s">
        <v>327</v>
      </c>
      <c r="K12" s="567" t="s">
        <v>1002</v>
      </c>
      <c r="L12" s="567" t="s">
        <v>1003</v>
      </c>
      <c r="M12" s="567" t="s">
        <v>1004</v>
      </c>
      <c r="N12" s="567" t="s">
        <v>1013</v>
      </c>
      <c r="O12" s="567" t="s">
        <v>1014</v>
      </c>
      <c r="P12" s="567" t="s">
        <v>1009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0.29097222222222224</v>
      </c>
      <c r="E13" s="567">
        <v>4896</v>
      </c>
      <c r="F13" s="567" t="s">
        <v>1001</v>
      </c>
      <c r="G13" s="567" t="s">
        <v>326</v>
      </c>
      <c r="H13" s="567">
        <v>0</v>
      </c>
      <c r="I13" s="567">
        <v>39</v>
      </c>
      <c r="J13" s="567" t="s">
        <v>327</v>
      </c>
      <c r="K13" s="567" t="s">
        <v>1002</v>
      </c>
      <c r="L13" s="567" t="s">
        <v>1003</v>
      </c>
      <c r="M13" s="567" t="s">
        <v>1004</v>
      </c>
      <c r="N13" s="567" t="s">
        <v>1011</v>
      </c>
      <c r="O13" s="567" t="s">
        <v>1012</v>
      </c>
      <c r="P13" s="567" t="s">
        <v>1007</v>
      </c>
      <c r="Q13" s="567" t="s">
        <v>1008</v>
      </c>
      <c r="R13" s="567">
        <v>80</v>
      </c>
    </row>
    <row r="14" spans="1:18" ht="15" x14ac:dyDescent="0.2">
      <c r="A14" s="567"/>
      <c r="B14" s="567"/>
      <c r="C14" s="567"/>
      <c r="D14" s="569">
        <v>0.33013888888888893</v>
      </c>
      <c r="E14" s="567">
        <v>27072</v>
      </c>
      <c r="F14" s="567" t="s">
        <v>1001</v>
      </c>
      <c r="G14" s="567" t="s">
        <v>326</v>
      </c>
      <c r="H14" s="567">
        <v>0</v>
      </c>
      <c r="I14" s="567">
        <v>39</v>
      </c>
      <c r="J14" s="567" t="s">
        <v>327</v>
      </c>
      <c r="K14" s="567" t="s">
        <v>1002</v>
      </c>
      <c r="L14" s="567" t="s">
        <v>1003</v>
      </c>
      <c r="M14" s="567" t="s">
        <v>1004</v>
      </c>
      <c r="N14" s="567" t="s">
        <v>1011</v>
      </c>
      <c r="O14" s="567" t="s">
        <v>1012</v>
      </c>
      <c r="P14" s="567" t="s">
        <v>1009</v>
      </c>
      <c r="Q14" s="567" t="s">
        <v>1008</v>
      </c>
      <c r="R14" s="567">
        <v>80</v>
      </c>
    </row>
    <row r="15" spans="1:18" ht="15" x14ac:dyDescent="0.2">
      <c r="A15" s="567"/>
      <c r="B15" s="567"/>
      <c r="C15" s="567"/>
      <c r="D15" s="569">
        <v>0.33013888888888893</v>
      </c>
      <c r="E15" s="567">
        <v>0</v>
      </c>
      <c r="F15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3"/>
  <sheetViews>
    <sheetView workbookViewId="0">
      <selection activeCell="B6" sqref="B6"/>
    </sheetView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75" style="568" bestFit="1" customWidth="1"/>
    <col min="7" max="7" width="7.625" style="568" bestFit="1" customWidth="1"/>
    <col min="8" max="8" width="2.25" style="568" bestFit="1" customWidth="1"/>
    <col min="9" max="9" width="3.375" style="568" bestFit="1" customWidth="1"/>
    <col min="10" max="10" width="8.375" style="568" bestFit="1" customWidth="1"/>
    <col min="11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75" style="568" bestFit="1" customWidth="1"/>
    <col min="263" max="263" width="7.625" style="568" bestFit="1" customWidth="1"/>
    <col min="264" max="264" width="2.25" style="568" bestFit="1" customWidth="1"/>
    <col min="265" max="265" width="3.375" style="568" bestFit="1" customWidth="1"/>
    <col min="266" max="266" width="8.375" style="568" bestFit="1" customWidth="1"/>
    <col min="267" max="269" width="8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75" style="568" bestFit="1" customWidth="1"/>
    <col min="519" max="519" width="7.625" style="568" bestFit="1" customWidth="1"/>
    <col min="520" max="520" width="2.25" style="568" bestFit="1" customWidth="1"/>
    <col min="521" max="521" width="3.375" style="568" bestFit="1" customWidth="1"/>
    <col min="522" max="522" width="8.375" style="568" bestFit="1" customWidth="1"/>
    <col min="523" max="525" width="8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75" style="568" bestFit="1" customWidth="1"/>
    <col min="775" max="775" width="7.625" style="568" bestFit="1" customWidth="1"/>
    <col min="776" max="776" width="2.25" style="568" bestFit="1" customWidth="1"/>
    <col min="777" max="777" width="3.375" style="568" bestFit="1" customWidth="1"/>
    <col min="778" max="778" width="8.375" style="568" bestFit="1" customWidth="1"/>
    <col min="779" max="781" width="8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75" style="568" bestFit="1" customWidth="1"/>
    <col min="1031" max="1031" width="7.625" style="568" bestFit="1" customWidth="1"/>
    <col min="1032" max="1032" width="2.25" style="568" bestFit="1" customWidth="1"/>
    <col min="1033" max="1033" width="3.375" style="568" bestFit="1" customWidth="1"/>
    <col min="1034" max="1034" width="8.375" style="568" bestFit="1" customWidth="1"/>
    <col min="1035" max="1037" width="8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75" style="568" bestFit="1" customWidth="1"/>
    <col min="1287" max="1287" width="7.625" style="568" bestFit="1" customWidth="1"/>
    <col min="1288" max="1288" width="2.25" style="568" bestFit="1" customWidth="1"/>
    <col min="1289" max="1289" width="3.375" style="568" bestFit="1" customWidth="1"/>
    <col min="1290" max="1290" width="8.375" style="568" bestFit="1" customWidth="1"/>
    <col min="1291" max="1293" width="8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75" style="568" bestFit="1" customWidth="1"/>
    <col min="1543" max="1543" width="7.625" style="568" bestFit="1" customWidth="1"/>
    <col min="1544" max="1544" width="2.25" style="568" bestFit="1" customWidth="1"/>
    <col min="1545" max="1545" width="3.375" style="568" bestFit="1" customWidth="1"/>
    <col min="1546" max="1546" width="8.375" style="568" bestFit="1" customWidth="1"/>
    <col min="1547" max="1549" width="8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75" style="568" bestFit="1" customWidth="1"/>
    <col min="1799" max="1799" width="7.625" style="568" bestFit="1" customWidth="1"/>
    <col min="1800" max="1800" width="2.25" style="568" bestFit="1" customWidth="1"/>
    <col min="1801" max="1801" width="3.375" style="568" bestFit="1" customWidth="1"/>
    <col min="1802" max="1802" width="8.375" style="568" bestFit="1" customWidth="1"/>
    <col min="1803" max="1805" width="8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75" style="568" bestFit="1" customWidth="1"/>
    <col min="2055" max="2055" width="7.625" style="568" bestFit="1" customWidth="1"/>
    <col min="2056" max="2056" width="2.25" style="568" bestFit="1" customWidth="1"/>
    <col min="2057" max="2057" width="3.375" style="568" bestFit="1" customWidth="1"/>
    <col min="2058" max="2058" width="8.375" style="568" bestFit="1" customWidth="1"/>
    <col min="2059" max="2061" width="8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75" style="568" bestFit="1" customWidth="1"/>
    <col min="2311" max="2311" width="7.625" style="568" bestFit="1" customWidth="1"/>
    <col min="2312" max="2312" width="2.25" style="568" bestFit="1" customWidth="1"/>
    <col min="2313" max="2313" width="3.375" style="568" bestFit="1" customWidth="1"/>
    <col min="2314" max="2314" width="8.375" style="568" bestFit="1" customWidth="1"/>
    <col min="2315" max="2317" width="8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75" style="568" bestFit="1" customWidth="1"/>
    <col min="2567" max="2567" width="7.625" style="568" bestFit="1" customWidth="1"/>
    <col min="2568" max="2568" width="2.25" style="568" bestFit="1" customWidth="1"/>
    <col min="2569" max="2569" width="3.375" style="568" bestFit="1" customWidth="1"/>
    <col min="2570" max="2570" width="8.375" style="568" bestFit="1" customWidth="1"/>
    <col min="2571" max="2573" width="8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75" style="568" bestFit="1" customWidth="1"/>
    <col min="2823" max="2823" width="7.625" style="568" bestFit="1" customWidth="1"/>
    <col min="2824" max="2824" width="2.25" style="568" bestFit="1" customWidth="1"/>
    <col min="2825" max="2825" width="3.375" style="568" bestFit="1" customWidth="1"/>
    <col min="2826" max="2826" width="8.375" style="568" bestFit="1" customWidth="1"/>
    <col min="2827" max="2829" width="8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75" style="568" bestFit="1" customWidth="1"/>
    <col min="3079" max="3079" width="7.625" style="568" bestFit="1" customWidth="1"/>
    <col min="3080" max="3080" width="2.25" style="568" bestFit="1" customWidth="1"/>
    <col min="3081" max="3081" width="3.375" style="568" bestFit="1" customWidth="1"/>
    <col min="3082" max="3082" width="8.375" style="568" bestFit="1" customWidth="1"/>
    <col min="3083" max="3085" width="8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75" style="568" bestFit="1" customWidth="1"/>
    <col min="3335" max="3335" width="7.625" style="568" bestFit="1" customWidth="1"/>
    <col min="3336" max="3336" width="2.25" style="568" bestFit="1" customWidth="1"/>
    <col min="3337" max="3337" width="3.375" style="568" bestFit="1" customWidth="1"/>
    <col min="3338" max="3338" width="8.375" style="568" bestFit="1" customWidth="1"/>
    <col min="3339" max="3341" width="8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75" style="568" bestFit="1" customWidth="1"/>
    <col min="3591" max="3591" width="7.625" style="568" bestFit="1" customWidth="1"/>
    <col min="3592" max="3592" width="2.25" style="568" bestFit="1" customWidth="1"/>
    <col min="3593" max="3593" width="3.375" style="568" bestFit="1" customWidth="1"/>
    <col min="3594" max="3594" width="8.375" style="568" bestFit="1" customWidth="1"/>
    <col min="3595" max="3597" width="8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75" style="568" bestFit="1" customWidth="1"/>
    <col min="3847" max="3847" width="7.625" style="568" bestFit="1" customWidth="1"/>
    <col min="3848" max="3848" width="2.25" style="568" bestFit="1" customWidth="1"/>
    <col min="3849" max="3849" width="3.375" style="568" bestFit="1" customWidth="1"/>
    <col min="3850" max="3850" width="8.375" style="568" bestFit="1" customWidth="1"/>
    <col min="3851" max="3853" width="8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75" style="568" bestFit="1" customWidth="1"/>
    <col min="4103" max="4103" width="7.625" style="568" bestFit="1" customWidth="1"/>
    <col min="4104" max="4104" width="2.25" style="568" bestFit="1" customWidth="1"/>
    <col min="4105" max="4105" width="3.375" style="568" bestFit="1" customWidth="1"/>
    <col min="4106" max="4106" width="8.375" style="568" bestFit="1" customWidth="1"/>
    <col min="4107" max="4109" width="8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75" style="568" bestFit="1" customWidth="1"/>
    <col min="4359" max="4359" width="7.625" style="568" bestFit="1" customWidth="1"/>
    <col min="4360" max="4360" width="2.25" style="568" bestFit="1" customWidth="1"/>
    <col min="4361" max="4361" width="3.375" style="568" bestFit="1" customWidth="1"/>
    <col min="4362" max="4362" width="8.375" style="568" bestFit="1" customWidth="1"/>
    <col min="4363" max="4365" width="8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75" style="568" bestFit="1" customWidth="1"/>
    <col min="4615" max="4615" width="7.625" style="568" bestFit="1" customWidth="1"/>
    <col min="4616" max="4616" width="2.25" style="568" bestFit="1" customWidth="1"/>
    <col min="4617" max="4617" width="3.375" style="568" bestFit="1" customWidth="1"/>
    <col min="4618" max="4618" width="8.375" style="568" bestFit="1" customWidth="1"/>
    <col min="4619" max="4621" width="8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75" style="568" bestFit="1" customWidth="1"/>
    <col min="4871" max="4871" width="7.625" style="568" bestFit="1" customWidth="1"/>
    <col min="4872" max="4872" width="2.25" style="568" bestFit="1" customWidth="1"/>
    <col min="4873" max="4873" width="3.375" style="568" bestFit="1" customWidth="1"/>
    <col min="4874" max="4874" width="8.375" style="568" bestFit="1" customWidth="1"/>
    <col min="4875" max="4877" width="8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75" style="568" bestFit="1" customWidth="1"/>
    <col min="5127" max="5127" width="7.625" style="568" bestFit="1" customWidth="1"/>
    <col min="5128" max="5128" width="2.25" style="568" bestFit="1" customWidth="1"/>
    <col min="5129" max="5129" width="3.375" style="568" bestFit="1" customWidth="1"/>
    <col min="5130" max="5130" width="8.375" style="568" bestFit="1" customWidth="1"/>
    <col min="5131" max="5133" width="8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75" style="568" bestFit="1" customWidth="1"/>
    <col min="5383" max="5383" width="7.625" style="568" bestFit="1" customWidth="1"/>
    <col min="5384" max="5384" width="2.25" style="568" bestFit="1" customWidth="1"/>
    <col min="5385" max="5385" width="3.375" style="568" bestFit="1" customWidth="1"/>
    <col min="5386" max="5386" width="8.375" style="568" bestFit="1" customWidth="1"/>
    <col min="5387" max="5389" width="8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75" style="568" bestFit="1" customWidth="1"/>
    <col min="5639" max="5639" width="7.625" style="568" bestFit="1" customWidth="1"/>
    <col min="5640" max="5640" width="2.25" style="568" bestFit="1" customWidth="1"/>
    <col min="5641" max="5641" width="3.375" style="568" bestFit="1" customWidth="1"/>
    <col min="5642" max="5642" width="8.375" style="568" bestFit="1" customWidth="1"/>
    <col min="5643" max="5645" width="8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75" style="568" bestFit="1" customWidth="1"/>
    <col min="5895" max="5895" width="7.625" style="568" bestFit="1" customWidth="1"/>
    <col min="5896" max="5896" width="2.25" style="568" bestFit="1" customWidth="1"/>
    <col min="5897" max="5897" width="3.375" style="568" bestFit="1" customWidth="1"/>
    <col min="5898" max="5898" width="8.375" style="568" bestFit="1" customWidth="1"/>
    <col min="5899" max="5901" width="8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75" style="568" bestFit="1" customWidth="1"/>
    <col min="6151" max="6151" width="7.625" style="568" bestFit="1" customWidth="1"/>
    <col min="6152" max="6152" width="2.25" style="568" bestFit="1" customWidth="1"/>
    <col min="6153" max="6153" width="3.375" style="568" bestFit="1" customWidth="1"/>
    <col min="6154" max="6154" width="8.375" style="568" bestFit="1" customWidth="1"/>
    <col min="6155" max="6157" width="8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75" style="568" bestFit="1" customWidth="1"/>
    <col min="6407" max="6407" width="7.625" style="568" bestFit="1" customWidth="1"/>
    <col min="6408" max="6408" width="2.25" style="568" bestFit="1" customWidth="1"/>
    <col min="6409" max="6409" width="3.375" style="568" bestFit="1" customWidth="1"/>
    <col min="6410" max="6410" width="8.375" style="568" bestFit="1" customWidth="1"/>
    <col min="6411" max="6413" width="8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75" style="568" bestFit="1" customWidth="1"/>
    <col min="6663" max="6663" width="7.625" style="568" bestFit="1" customWidth="1"/>
    <col min="6664" max="6664" width="2.25" style="568" bestFit="1" customWidth="1"/>
    <col min="6665" max="6665" width="3.375" style="568" bestFit="1" customWidth="1"/>
    <col min="6666" max="6666" width="8.375" style="568" bestFit="1" customWidth="1"/>
    <col min="6667" max="6669" width="8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75" style="568" bestFit="1" customWidth="1"/>
    <col min="6919" max="6919" width="7.625" style="568" bestFit="1" customWidth="1"/>
    <col min="6920" max="6920" width="2.25" style="568" bestFit="1" customWidth="1"/>
    <col min="6921" max="6921" width="3.375" style="568" bestFit="1" customWidth="1"/>
    <col min="6922" max="6922" width="8.375" style="568" bestFit="1" customWidth="1"/>
    <col min="6923" max="6925" width="8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75" style="568" bestFit="1" customWidth="1"/>
    <col min="7175" max="7175" width="7.625" style="568" bestFit="1" customWidth="1"/>
    <col min="7176" max="7176" width="2.25" style="568" bestFit="1" customWidth="1"/>
    <col min="7177" max="7177" width="3.375" style="568" bestFit="1" customWidth="1"/>
    <col min="7178" max="7178" width="8.375" style="568" bestFit="1" customWidth="1"/>
    <col min="7179" max="7181" width="8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75" style="568" bestFit="1" customWidth="1"/>
    <col min="7431" max="7431" width="7.625" style="568" bestFit="1" customWidth="1"/>
    <col min="7432" max="7432" width="2.25" style="568" bestFit="1" customWidth="1"/>
    <col min="7433" max="7433" width="3.375" style="568" bestFit="1" customWidth="1"/>
    <col min="7434" max="7434" width="8.375" style="568" bestFit="1" customWidth="1"/>
    <col min="7435" max="7437" width="8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75" style="568" bestFit="1" customWidth="1"/>
    <col min="7687" max="7687" width="7.625" style="568" bestFit="1" customWidth="1"/>
    <col min="7688" max="7688" width="2.25" style="568" bestFit="1" customWidth="1"/>
    <col min="7689" max="7689" width="3.375" style="568" bestFit="1" customWidth="1"/>
    <col min="7690" max="7690" width="8.375" style="568" bestFit="1" customWidth="1"/>
    <col min="7691" max="7693" width="8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75" style="568" bestFit="1" customWidth="1"/>
    <col min="7943" max="7943" width="7.625" style="568" bestFit="1" customWidth="1"/>
    <col min="7944" max="7944" width="2.25" style="568" bestFit="1" customWidth="1"/>
    <col min="7945" max="7945" width="3.375" style="568" bestFit="1" customWidth="1"/>
    <col min="7946" max="7946" width="8.375" style="568" bestFit="1" customWidth="1"/>
    <col min="7947" max="7949" width="8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75" style="568" bestFit="1" customWidth="1"/>
    <col min="8199" max="8199" width="7.625" style="568" bestFit="1" customWidth="1"/>
    <col min="8200" max="8200" width="2.25" style="568" bestFit="1" customWidth="1"/>
    <col min="8201" max="8201" width="3.375" style="568" bestFit="1" customWidth="1"/>
    <col min="8202" max="8202" width="8.375" style="568" bestFit="1" customWidth="1"/>
    <col min="8203" max="8205" width="8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75" style="568" bestFit="1" customWidth="1"/>
    <col min="8455" max="8455" width="7.625" style="568" bestFit="1" customWidth="1"/>
    <col min="8456" max="8456" width="2.25" style="568" bestFit="1" customWidth="1"/>
    <col min="8457" max="8457" width="3.375" style="568" bestFit="1" customWidth="1"/>
    <col min="8458" max="8458" width="8.375" style="568" bestFit="1" customWidth="1"/>
    <col min="8459" max="8461" width="8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75" style="568" bestFit="1" customWidth="1"/>
    <col min="8711" max="8711" width="7.625" style="568" bestFit="1" customWidth="1"/>
    <col min="8712" max="8712" width="2.25" style="568" bestFit="1" customWidth="1"/>
    <col min="8713" max="8713" width="3.375" style="568" bestFit="1" customWidth="1"/>
    <col min="8714" max="8714" width="8.375" style="568" bestFit="1" customWidth="1"/>
    <col min="8715" max="8717" width="8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75" style="568" bestFit="1" customWidth="1"/>
    <col min="8967" max="8967" width="7.625" style="568" bestFit="1" customWidth="1"/>
    <col min="8968" max="8968" width="2.25" style="568" bestFit="1" customWidth="1"/>
    <col min="8969" max="8969" width="3.375" style="568" bestFit="1" customWidth="1"/>
    <col min="8970" max="8970" width="8.375" style="568" bestFit="1" customWidth="1"/>
    <col min="8971" max="8973" width="8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75" style="568" bestFit="1" customWidth="1"/>
    <col min="9223" max="9223" width="7.625" style="568" bestFit="1" customWidth="1"/>
    <col min="9224" max="9224" width="2.25" style="568" bestFit="1" customWidth="1"/>
    <col min="9225" max="9225" width="3.375" style="568" bestFit="1" customWidth="1"/>
    <col min="9226" max="9226" width="8.375" style="568" bestFit="1" customWidth="1"/>
    <col min="9227" max="9229" width="8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75" style="568" bestFit="1" customWidth="1"/>
    <col min="9479" max="9479" width="7.625" style="568" bestFit="1" customWidth="1"/>
    <col min="9480" max="9480" width="2.25" style="568" bestFit="1" customWidth="1"/>
    <col min="9481" max="9481" width="3.375" style="568" bestFit="1" customWidth="1"/>
    <col min="9482" max="9482" width="8.375" style="568" bestFit="1" customWidth="1"/>
    <col min="9483" max="9485" width="8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75" style="568" bestFit="1" customWidth="1"/>
    <col min="9735" max="9735" width="7.625" style="568" bestFit="1" customWidth="1"/>
    <col min="9736" max="9736" width="2.25" style="568" bestFit="1" customWidth="1"/>
    <col min="9737" max="9737" width="3.375" style="568" bestFit="1" customWidth="1"/>
    <col min="9738" max="9738" width="8.375" style="568" bestFit="1" customWidth="1"/>
    <col min="9739" max="9741" width="8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75" style="568" bestFit="1" customWidth="1"/>
    <col min="9991" max="9991" width="7.625" style="568" bestFit="1" customWidth="1"/>
    <col min="9992" max="9992" width="2.25" style="568" bestFit="1" customWidth="1"/>
    <col min="9993" max="9993" width="3.375" style="568" bestFit="1" customWidth="1"/>
    <col min="9994" max="9994" width="8.375" style="568" bestFit="1" customWidth="1"/>
    <col min="9995" max="9997" width="8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75" style="568" bestFit="1" customWidth="1"/>
    <col min="10247" max="10247" width="7.625" style="568" bestFit="1" customWidth="1"/>
    <col min="10248" max="10248" width="2.25" style="568" bestFit="1" customWidth="1"/>
    <col min="10249" max="10249" width="3.375" style="568" bestFit="1" customWidth="1"/>
    <col min="10250" max="10250" width="8.375" style="568" bestFit="1" customWidth="1"/>
    <col min="10251" max="10253" width="8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75" style="568" bestFit="1" customWidth="1"/>
    <col min="10503" max="10503" width="7.625" style="568" bestFit="1" customWidth="1"/>
    <col min="10504" max="10504" width="2.25" style="568" bestFit="1" customWidth="1"/>
    <col min="10505" max="10505" width="3.375" style="568" bestFit="1" customWidth="1"/>
    <col min="10506" max="10506" width="8.375" style="568" bestFit="1" customWidth="1"/>
    <col min="10507" max="10509" width="8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75" style="568" bestFit="1" customWidth="1"/>
    <col min="10759" max="10759" width="7.625" style="568" bestFit="1" customWidth="1"/>
    <col min="10760" max="10760" width="2.25" style="568" bestFit="1" customWidth="1"/>
    <col min="10761" max="10761" width="3.375" style="568" bestFit="1" customWidth="1"/>
    <col min="10762" max="10762" width="8.375" style="568" bestFit="1" customWidth="1"/>
    <col min="10763" max="10765" width="8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75" style="568" bestFit="1" customWidth="1"/>
    <col min="11015" max="11015" width="7.625" style="568" bestFit="1" customWidth="1"/>
    <col min="11016" max="11016" width="2.25" style="568" bestFit="1" customWidth="1"/>
    <col min="11017" max="11017" width="3.375" style="568" bestFit="1" customWidth="1"/>
    <col min="11018" max="11018" width="8.375" style="568" bestFit="1" customWidth="1"/>
    <col min="11019" max="11021" width="8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75" style="568" bestFit="1" customWidth="1"/>
    <col min="11271" max="11271" width="7.625" style="568" bestFit="1" customWidth="1"/>
    <col min="11272" max="11272" width="2.25" style="568" bestFit="1" customWidth="1"/>
    <col min="11273" max="11273" width="3.375" style="568" bestFit="1" customWidth="1"/>
    <col min="11274" max="11274" width="8.375" style="568" bestFit="1" customWidth="1"/>
    <col min="11275" max="11277" width="8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75" style="568" bestFit="1" customWidth="1"/>
    <col min="11527" max="11527" width="7.625" style="568" bestFit="1" customWidth="1"/>
    <col min="11528" max="11528" width="2.25" style="568" bestFit="1" customWidth="1"/>
    <col min="11529" max="11529" width="3.375" style="568" bestFit="1" customWidth="1"/>
    <col min="11530" max="11530" width="8.375" style="568" bestFit="1" customWidth="1"/>
    <col min="11531" max="11533" width="8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75" style="568" bestFit="1" customWidth="1"/>
    <col min="11783" max="11783" width="7.625" style="568" bestFit="1" customWidth="1"/>
    <col min="11784" max="11784" width="2.25" style="568" bestFit="1" customWidth="1"/>
    <col min="11785" max="11785" width="3.375" style="568" bestFit="1" customWidth="1"/>
    <col min="11786" max="11786" width="8.375" style="568" bestFit="1" customWidth="1"/>
    <col min="11787" max="11789" width="8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75" style="568" bestFit="1" customWidth="1"/>
    <col min="12039" max="12039" width="7.625" style="568" bestFit="1" customWidth="1"/>
    <col min="12040" max="12040" width="2.25" style="568" bestFit="1" customWidth="1"/>
    <col min="12041" max="12041" width="3.375" style="568" bestFit="1" customWidth="1"/>
    <col min="12042" max="12042" width="8.375" style="568" bestFit="1" customWidth="1"/>
    <col min="12043" max="12045" width="8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75" style="568" bestFit="1" customWidth="1"/>
    <col min="12295" max="12295" width="7.625" style="568" bestFit="1" customWidth="1"/>
    <col min="12296" max="12296" width="2.25" style="568" bestFit="1" customWidth="1"/>
    <col min="12297" max="12297" width="3.375" style="568" bestFit="1" customWidth="1"/>
    <col min="12298" max="12298" width="8.375" style="568" bestFit="1" customWidth="1"/>
    <col min="12299" max="12301" width="8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75" style="568" bestFit="1" customWidth="1"/>
    <col min="12551" max="12551" width="7.625" style="568" bestFit="1" customWidth="1"/>
    <col min="12552" max="12552" width="2.25" style="568" bestFit="1" customWidth="1"/>
    <col min="12553" max="12553" width="3.375" style="568" bestFit="1" customWidth="1"/>
    <col min="12554" max="12554" width="8.375" style="568" bestFit="1" customWidth="1"/>
    <col min="12555" max="12557" width="8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75" style="568" bestFit="1" customWidth="1"/>
    <col min="12807" max="12807" width="7.625" style="568" bestFit="1" customWidth="1"/>
    <col min="12808" max="12808" width="2.25" style="568" bestFit="1" customWidth="1"/>
    <col min="12809" max="12809" width="3.375" style="568" bestFit="1" customWidth="1"/>
    <col min="12810" max="12810" width="8.375" style="568" bestFit="1" customWidth="1"/>
    <col min="12811" max="12813" width="8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75" style="568" bestFit="1" customWidth="1"/>
    <col min="13063" max="13063" width="7.625" style="568" bestFit="1" customWidth="1"/>
    <col min="13064" max="13064" width="2.25" style="568" bestFit="1" customWidth="1"/>
    <col min="13065" max="13065" width="3.375" style="568" bestFit="1" customWidth="1"/>
    <col min="13066" max="13066" width="8.375" style="568" bestFit="1" customWidth="1"/>
    <col min="13067" max="13069" width="8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75" style="568" bestFit="1" customWidth="1"/>
    <col min="13319" max="13319" width="7.625" style="568" bestFit="1" customWidth="1"/>
    <col min="13320" max="13320" width="2.25" style="568" bestFit="1" customWidth="1"/>
    <col min="13321" max="13321" width="3.375" style="568" bestFit="1" customWidth="1"/>
    <col min="13322" max="13322" width="8.375" style="568" bestFit="1" customWidth="1"/>
    <col min="13323" max="13325" width="8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75" style="568" bestFit="1" customWidth="1"/>
    <col min="13575" max="13575" width="7.625" style="568" bestFit="1" customWidth="1"/>
    <col min="13576" max="13576" width="2.25" style="568" bestFit="1" customWidth="1"/>
    <col min="13577" max="13577" width="3.375" style="568" bestFit="1" customWidth="1"/>
    <col min="13578" max="13578" width="8.375" style="568" bestFit="1" customWidth="1"/>
    <col min="13579" max="13581" width="8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75" style="568" bestFit="1" customWidth="1"/>
    <col min="13831" max="13831" width="7.625" style="568" bestFit="1" customWidth="1"/>
    <col min="13832" max="13832" width="2.25" style="568" bestFit="1" customWidth="1"/>
    <col min="13833" max="13833" width="3.375" style="568" bestFit="1" customWidth="1"/>
    <col min="13834" max="13834" width="8.375" style="568" bestFit="1" customWidth="1"/>
    <col min="13835" max="13837" width="8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75" style="568" bestFit="1" customWidth="1"/>
    <col min="14087" max="14087" width="7.625" style="568" bestFit="1" customWidth="1"/>
    <col min="14088" max="14088" width="2.25" style="568" bestFit="1" customWidth="1"/>
    <col min="14089" max="14089" width="3.375" style="568" bestFit="1" customWidth="1"/>
    <col min="14090" max="14090" width="8.375" style="568" bestFit="1" customWidth="1"/>
    <col min="14091" max="14093" width="8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75" style="568" bestFit="1" customWidth="1"/>
    <col min="14343" max="14343" width="7.625" style="568" bestFit="1" customWidth="1"/>
    <col min="14344" max="14344" width="2.25" style="568" bestFit="1" customWidth="1"/>
    <col min="14345" max="14345" width="3.375" style="568" bestFit="1" customWidth="1"/>
    <col min="14346" max="14346" width="8.375" style="568" bestFit="1" customWidth="1"/>
    <col min="14347" max="14349" width="8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75" style="568" bestFit="1" customWidth="1"/>
    <col min="14599" max="14599" width="7.625" style="568" bestFit="1" customWidth="1"/>
    <col min="14600" max="14600" width="2.25" style="568" bestFit="1" customWidth="1"/>
    <col min="14601" max="14601" width="3.375" style="568" bestFit="1" customWidth="1"/>
    <col min="14602" max="14602" width="8.375" style="568" bestFit="1" customWidth="1"/>
    <col min="14603" max="14605" width="8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75" style="568" bestFit="1" customWidth="1"/>
    <col min="14855" max="14855" width="7.625" style="568" bestFit="1" customWidth="1"/>
    <col min="14856" max="14856" width="2.25" style="568" bestFit="1" customWidth="1"/>
    <col min="14857" max="14857" width="3.375" style="568" bestFit="1" customWidth="1"/>
    <col min="14858" max="14858" width="8.375" style="568" bestFit="1" customWidth="1"/>
    <col min="14859" max="14861" width="8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75" style="568" bestFit="1" customWidth="1"/>
    <col min="15111" max="15111" width="7.625" style="568" bestFit="1" customWidth="1"/>
    <col min="15112" max="15112" width="2.25" style="568" bestFit="1" customWidth="1"/>
    <col min="15113" max="15113" width="3.375" style="568" bestFit="1" customWidth="1"/>
    <col min="15114" max="15114" width="8.375" style="568" bestFit="1" customWidth="1"/>
    <col min="15115" max="15117" width="8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75" style="568" bestFit="1" customWidth="1"/>
    <col min="15367" max="15367" width="7.625" style="568" bestFit="1" customWidth="1"/>
    <col min="15368" max="15368" width="2.25" style="568" bestFit="1" customWidth="1"/>
    <col min="15369" max="15369" width="3.375" style="568" bestFit="1" customWidth="1"/>
    <col min="15370" max="15370" width="8.375" style="568" bestFit="1" customWidth="1"/>
    <col min="15371" max="15373" width="8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75" style="568" bestFit="1" customWidth="1"/>
    <col min="15623" max="15623" width="7.625" style="568" bestFit="1" customWidth="1"/>
    <col min="15624" max="15624" width="2.25" style="568" bestFit="1" customWidth="1"/>
    <col min="15625" max="15625" width="3.375" style="568" bestFit="1" customWidth="1"/>
    <col min="15626" max="15626" width="8.375" style="568" bestFit="1" customWidth="1"/>
    <col min="15627" max="15629" width="8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75" style="568" bestFit="1" customWidth="1"/>
    <col min="15879" max="15879" width="7.625" style="568" bestFit="1" customWidth="1"/>
    <col min="15880" max="15880" width="2.25" style="568" bestFit="1" customWidth="1"/>
    <col min="15881" max="15881" width="3.375" style="568" bestFit="1" customWidth="1"/>
    <col min="15882" max="15882" width="8.375" style="568" bestFit="1" customWidth="1"/>
    <col min="15883" max="15885" width="8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75" style="568" bestFit="1" customWidth="1"/>
    <col min="16135" max="16135" width="7.625" style="568" bestFit="1" customWidth="1"/>
    <col min="16136" max="16136" width="2.25" style="568" bestFit="1" customWidth="1"/>
    <col min="16137" max="16137" width="3.375" style="568" bestFit="1" customWidth="1"/>
    <col min="16138" max="16138" width="8.375" style="568" bestFit="1" customWidth="1"/>
    <col min="16139" max="16141" width="8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829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1017</v>
      </c>
      <c r="G9" s="567">
        <v>9</v>
      </c>
    </row>
    <row r="10" spans="1:18" ht="15" x14ac:dyDescent="0.2">
      <c r="A10" s="567"/>
      <c r="B10" s="567"/>
      <c r="C10" s="567"/>
      <c r="D10" s="569">
        <v>0</v>
      </c>
      <c r="E10" s="567">
        <v>0</v>
      </c>
      <c r="F10" s="567" t="s">
        <v>1001</v>
      </c>
      <c r="G10" s="567" t="s">
        <v>326</v>
      </c>
      <c r="H10" s="567">
        <v>0</v>
      </c>
      <c r="I10" s="567">
        <v>39</v>
      </c>
      <c r="J10" s="567" t="s">
        <v>327</v>
      </c>
      <c r="K10" s="567" t="s">
        <v>1002</v>
      </c>
      <c r="L10" s="567" t="s">
        <v>1003</v>
      </c>
      <c r="M10" s="567" t="s">
        <v>1004</v>
      </c>
      <c r="N10" s="567" t="s">
        <v>1011</v>
      </c>
      <c r="O10" s="567" t="s">
        <v>1012</v>
      </c>
      <c r="P10" s="567" t="s">
        <v>1007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3.472222222222222E-3</v>
      </c>
      <c r="E11" s="567">
        <v>2400</v>
      </c>
      <c r="F11" s="567" t="s">
        <v>1001</v>
      </c>
      <c r="G11" s="567" t="s">
        <v>326</v>
      </c>
      <c r="H11" s="567">
        <v>0</v>
      </c>
      <c r="I11" s="567">
        <v>39</v>
      </c>
      <c r="J11" s="567" t="s">
        <v>327</v>
      </c>
      <c r="K11" s="567" t="s">
        <v>1002</v>
      </c>
      <c r="L11" s="567" t="s">
        <v>1003</v>
      </c>
      <c r="M11" s="567" t="s">
        <v>1004</v>
      </c>
      <c r="N11" s="567" t="s">
        <v>1011</v>
      </c>
      <c r="O11" s="567" t="s">
        <v>1012</v>
      </c>
      <c r="P11" s="567" t="s">
        <v>1009</v>
      </c>
      <c r="Q11" s="567" t="s">
        <v>1008</v>
      </c>
      <c r="R11" s="567">
        <v>80</v>
      </c>
    </row>
    <row r="12" spans="1:18" ht="15" x14ac:dyDescent="0.2">
      <c r="A12" s="567"/>
      <c r="B12" s="567"/>
      <c r="C12" s="567"/>
      <c r="D12" s="569">
        <v>6.9444444444444441E-3</v>
      </c>
      <c r="E12" s="567">
        <v>2400</v>
      </c>
      <c r="F12" s="567" t="s">
        <v>1018</v>
      </c>
    </row>
    <row r="13" spans="1:18" ht="15" x14ac:dyDescent="0.2">
      <c r="A13" s="567"/>
      <c r="B13" s="567"/>
      <c r="C13" s="567"/>
      <c r="D13" s="569">
        <v>6.25E-2</v>
      </c>
      <c r="E13" s="567">
        <v>0</v>
      </c>
      <c r="F13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zoomScale="85" zoomScaleNormal="85" workbookViewId="0"/>
  </sheetViews>
  <sheetFormatPr defaultColWidth="11.375" defaultRowHeight="15" x14ac:dyDescent="0.2"/>
  <cols>
    <col min="1" max="1" width="6.375" style="21" bestFit="1" customWidth="1"/>
    <col min="2" max="2" width="42" style="14" bestFit="1" customWidth="1"/>
    <col min="3" max="12" width="16" style="14" customWidth="1"/>
    <col min="13" max="13" width="14.375" style="14" customWidth="1"/>
    <col min="14" max="14" width="16.75" style="14" customWidth="1"/>
    <col min="15" max="15" width="13.875" style="14" customWidth="1"/>
    <col min="16" max="16" width="25.625" style="14" bestFit="1" customWidth="1"/>
    <col min="17" max="17" width="30.625" style="14" bestFit="1" customWidth="1"/>
    <col min="18" max="18" width="7.125" style="14" bestFit="1" customWidth="1"/>
    <col min="19" max="16384" width="11.375" style="14"/>
  </cols>
  <sheetData>
    <row r="1" spans="1:18" s="64" customFormat="1" x14ac:dyDescent="0.2">
      <c r="A1" s="8"/>
      <c r="B1" s="9"/>
      <c r="C1" s="10"/>
      <c r="D1" s="11"/>
      <c r="E1" s="11"/>
      <c r="F1" s="12"/>
      <c r="G1" s="11"/>
      <c r="H1" s="12"/>
      <c r="I1" s="10"/>
      <c r="J1" s="11"/>
      <c r="K1" s="11"/>
      <c r="L1" s="12"/>
      <c r="M1" s="11"/>
      <c r="N1" s="13"/>
      <c r="O1" s="82"/>
      <c r="P1" s="82"/>
    </row>
    <row r="2" spans="1:18" x14ac:dyDescent="0.2">
      <c r="A2" s="83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84" t="s">
        <v>36</v>
      </c>
      <c r="O2" s="70">
        <v>750</v>
      </c>
      <c r="P2" s="70"/>
    </row>
    <row r="3" spans="1:18" x14ac:dyDescent="0.2">
      <c r="A3" s="83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8" ht="15.75" thickBot="1" x14ac:dyDescent="0.25">
      <c r="A4" s="83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8" ht="21.6" customHeight="1" x14ac:dyDescent="0.2">
      <c r="A5" s="83"/>
      <c r="B5" s="587" t="s">
        <v>17</v>
      </c>
      <c r="C5" s="593" t="s">
        <v>18</v>
      </c>
      <c r="D5" s="604"/>
      <c r="E5" s="604"/>
      <c r="F5" s="594"/>
      <c r="G5" s="593" t="s">
        <v>19</v>
      </c>
      <c r="H5" s="605"/>
      <c r="I5" s="593" t="s">
        <v>20</v>
      </c>
      <c r="J5" s="604"/>
      <c r="K5" s="604"/>
      <c r="L5" s="594"/>
      <c r="M5" s="589" t="s">
        <v>21</v>
      </c>
      <c r="N5" s="589" t="s">
        <v>22</v>
      </c>
      <c r="O5" s="589" t="s">
        <v>37</v>
      </c>
      <c r="P5" s="602" t="s">
        <v>211</v>
      </c>
      <c r="Q5" s="603" t="s">
        <v>212</v>
      </c>
      <c r="R5" s="603" t="s">
        <v>213</v>
      </c>
    </row>
    <row r="6" spans="1:18" ht="21.6" customHeight="1" thickBot="1" x14ac:dyDescent="0.25">
      <c r="A6" s="83"/>
      <c r="B6" s="588"/>
      <c r="C6" s="86" t="s">
        <v>25</v>
      </c>
      <c r="D6" s="87" t="s">
        <v>26</v>
      </c>
      <c r="E6" s="88" t="s">
        <v>27</v>
      </c>
      <c r="F6" s="89" t="s">
        <v>28</v>
      </c>
      <c r="G6" s="86" t="s">
        <v>33</v>
      </c>
      <c r="H6" s="89" t="s">
        <v>28</v>
      </c>
      <c r="I6" s="86" t="s">
        <v>25</v>
      </c>
      <c r="J6" s="87" t="s">
        <v>26</v>
      </c>
      <c r="K6" s="88" t="s">
        <v>27</v>
      </c>
      <c r="L6" s="89" t="s">
        <v>28</v>
      </c>
      <c r="M6" s="590"/>
      <c r="N6" s="590"/>
      <c r="O6" s="590"/>
      <c r="P6" s="602"/>
      <c r="Q6" s="603"/>
      <c r="R6" s="603"/>
    </row>
    <row r="7" spans="1:18" x14ac:dyDescent="0.2">
      <c r="A7" s="83"/>
      <c r="B7" s="91"/>
      <c r="C7" s="92"/>
      <c r="D7" s="93"/>
      <c r="E7" s="93"/>
      <c r="F7" s="94"/>
      <c r="G7" s="95"/>
      <c r="H7" s="96"/>
      <c r="I7" s="97"/>
      <c r="J7" s="98"/>
      <c r="K7" s="98"/>
      <c r="L7" s="99"/>
      <c r="M7" s="405"/>
      <c r="N7" s="405"/>
      <c r="O7" s="405"/>
      <c r="P7" s="70"/>
      <c r="Q7" s="90"/>
    </row>
    <row r="8" spans="1:18" x14ac:dyDescent="0.2">
      <c r="A8" s="83"/>
      <c r="B8" s="34" t="s">
        <v>361</v>
      </c>
      <c r="C8" s="35">
        <f t="shared" ref="C8:C39" si="0">DATE(D8,1,E8)</f>
        <v>42697</v>
      </c>
      <c r="D8" s="36">
        <v>2016</v>
      </c>
      <c r="E8" s="36">
        <v>328</v>
      </c>
      <c r="F8" s="37">
        <v>0.23819444444444446</v>
      </c>
      <c r="G8" s="100"/>
      <c r="H8" s="101"/>
      <c r="I8" s="102"/>
      <c r="J8" s="103"/>
      <c r="K8" s="103"/>
      <c r="L8" s="104"/>
      <c r="M8" s="76"/>
      <c r="N8" s="76"/>
      <c r="O8" s="76"/>
      <c r="P8" s="70"/>
      <c r="Q8" s="90"/>
    </row>
    <row r="9" spans="1:18" x14ac:dyDescent="0.2">
      <c r="A9" s="21">
        <v>3</v>
      </c>
      <c r="B9" s="45" t="s">
        <v>371</v>
      </c>
      <c r="C9" s="35">
        <f t="shared" si="0"/>
        <v>42698</v>
      </c>
      <c r="D9" s="36">
        <v>2016</v>
      </c>
      <c r="E9" s="36">
        <v>329</v>
      </c>
      <c r="F9" s="37">
        <v>0.90486111111111101</v>
      </c>
      <c r="G9" s="38">
        <v>0</v>
      </c>
      <c r="H9" s="37">
        <v>0.33333333333333298</v>
      </c>
      <c r="I9" s="35">
        <f t="shared" ref="I9:I40" si="1">DATE(J9,1,K9)</f>
        <v>42699</v>
      </c>
      <c r="J9" s="36">
        <v>2016</v>
      </c>
      <c r="K9" s="36">
        <v>330</v>
      </c>
      <c r="L9" s="37">
        <v>0.23819444444444399</v>
      </c>
      <c r="M9" s="41">
        <v>3000</v>
      </c>
      <c r="N9" s="42">
        <v>86.4</v>
      </c>
      <c r="O9" s="76">
        <f>VLOOKUP($B9,'CIRS Table IDs'!$B:$P,14,FALSE)</f>
        <v>752</v>
      </c>
      <c r="P9" s="83"/>
      <c r="Q9" s="90"/>
    </row>
    <row r="10" spans="1:18" x14ac:dyDescent="0.2">
      <c r="A10" s="21">
        <v>5</v>
      </c>
      <c r="B10" s="45" t="s">
        <v>373</v>
      </c>
      <c r="C10" s="35">
        <f t="shared" si="0"/>
        <v>42699</v>
      </c>
      <c r="D10" s="36">
        <v>2016</v>
      </c>
      <c r="E10" s="36">
        <v>330</v>
      </c>
      <c r="F10" s="37">
        <v>0.90486111111111101</v>
      </c>
      <c r="G10" s="38">
        <v>0</v>
      </c>
      <c r="H10" s="37">
        <v>0.33333333333333298</v>
      </c>
      <c r="I10" s="35">
        <f t="shared" si="1"/>
        <v>42700</v>
      </c>
      <c r="J10" s="36">
        <v>2016</v>
      </c>
      <c r="K10" s="36">
        <v>331</v>
      </c>
      <c r="L10" s="37">
        <v>0.23819444444444399</v>
      </c>
      <c r="M10" s="41">
        <v>3000</v>
      </c>
      <c r="N10" s="42">
        <v>86.4</v>
      </c>
      <c r="O10" s="76">
        <f>VLOOKUP($B10,'CIRS Table IDs'!$B:$P,14,FALSE)</f>
        <v>754</v>
      </c>
      <c r="P10" s="83"/>
      <c r="Q10" s="90"/>
    </row>
    <row r="11" spans="1:18" x14ac:dyDescent="0.2">
      <c r="A11" s="21">
        <v>12</v>
      </c>
      <c r="B11" s="45" t="s">
        <v>389</v>
      </c>
      <c r="C11" s="35">
        <f t="shared" si="0"/>
        <v>42701</v>
      </c>
      <c r="D11" s="36">
        <v>2016</v>
      </c>
      <c r="E11" s="36">
        <v>332</v>
      </c>
      <c r="F11" s="37">
        <v>0.46875</v>
      </c>
      <c r="G11" s="38">
        <v>0</v>
      </c>
      <c r="H11" s="37">
        <v>0.69791666666666696</v>
      </c>
      <c r="I11" s="35">
        <f t="shared" si="1"/>
        <v>42702</v>
      </c>
      <c r="J11" s="36">
        <v>2016</v>
      </c>
      <c r="K11" s="36">
        <v>333</v>
      </c>
      <c r="L11" s="37">
        <v>0.16666666666666699</v>
      </c>
      <c r="M11" s="41">
        <v>3000</v>
      </c>
      <c r="N11" s="42">
        <v>180.9</v>
      </c>
      <c r="O11" s="76">
        <f>VLOOKUP($B11,'CIRS Table IDs'!$B:$P,14,FALSE)</f>
        <v>761</v>
      </c>
      <c r="P11" s="83"/>
      <c r="Q11" s="90"/>
    </row>
    <row r="12" spans="1:18" x14ac:dyDescent="0.2">
      <c r="A12" s="21">
        <v>13</v>
      </c>
      <c r="B12" s="45" t="s">
        <v>390</v>
      </c>
      <c r="C12" s="35">
        <f t="shared" si="0"/>
        <v>42702</v>
      </c>
      <c r="D12" s="36">
        <v>2016</v>
      </c>
      <c r="E12" s="36">
        <v>333</v>
      </c>
      <c r="F12" s="37">
        <v>0.93611111111111101</v>
      </c>
      <c r="G12" s="38">
        <v>0</v>
      </c>
      <c r="H12" s="37">
        <v>0.29166666666666702</v>
      </c>
      <c r="I12" s="35">
        <f t="shared" si="1"/>
        <v>42703</v>
      </c>
      <c r="J12" s="36">
        <v>2016</v>
      </c>
      <c r="K12" s="36">
        <v>334</v>
      </c>
      <c r="L12" s="37">
        <v>0.227777777777778</v>
      </c>
      <c r="M12" s="41">
        <v>1716</v>
      </c>
      <c r="N12" s="42">
        <v>43.243000000000002</v>
      </c>
      <c r="O12" s="76">
        <f>VLOOKUP($B12,'CIRS Table IDs'!$B:$P,14,FALSE)</f>
        <v>762</v>
      </c>
      <c r="P12" s="83"/>
      <c r="Q12" s="90"/>
    </row>
    <row r="13" spans="1:18" x14ac:dyDescent="0.2">
      <c r="A13" s="21">
        <v>27</v>
      </c>
      <c r="B13" s="45" t="s">
        <v>409</v>
      </c>
      <c r="C13" s="35">
        <f t="shared" si="0"/>
        <v>42704</v>
      </c>
      <c r="D13" s="36">
        <v>2016</v>
      </c>
      <c r="E13" s="36">
        <v>335</v>
      </c>
      <c r="F13" s="37">
        <v>0.88402777777777797</v>
      </c>
      <c r="G13" s="38">
        <v>0</v>
      </c>
      <c r="H13" s="37">
        <v>0.5</v>
      </c>
      <c r="I13" s="35">
        <f t="shared" si="1"/>
        <v>42705</v>
      </c>
      <c r="J13" s="36">
        <v>2016</v>
      </c>
      <c r="K13" s="36">
        <v>336</v>
      </c>
      <c r="L13" s="37">
        <v>0.38402777777777802</v>
      </c>
      <c r="M13" s="41">
        <v>3000</v>
      </c>
      <c r="N13" s="42">
        <v>129.6</v>
      </c>
      <c r="O13" s="76">
        <f>VLOOKUP($B13,'CIRS Table IDs'!$B:$P,14,FALSE)</f>
        <v>776</v>
      </c>
      <c r="P13" s="83"/>
      <c r="Q13" s="90"/>
    </row>
    <row r="14" spans="1:18" x14ac:dyDescent="0.2">
      <c r="A14" s="21">
        <v>29</v>
      </c>
      <c r="B14" s="45" t="s">
        <v>412</v>
      </c>
      <c r="C14" s="35">
        <f t="shared" si="0"/>
        <v>42705</v>
      </c>
      <c r="D14" s="36">
        <v>2016</v>
      </c>
      <c r="E14" s="36">
        <v>336</v>
      </c>
      <c r="F14" s="37">
        <v>0.88958333333333295</v>
      </c>
      <c r="G14" s="38">
        <v>0</v>
      </c>
      <c r="H14" s="37">
        <v>0.33333333333333298</v>
      </c>
      <c r="I14" s="35">
        <f t="shared" si="1"/>
        <v>42706</v>
      </c>
      <c r="J14" s="36">
        <v>2016</v>
      </c>
      <c r="K14" s="36">
        <v>337</v>
      </c>
      <c r="L14" s="37">
        <v>0.22291666666666701</v>
      </c>
      <c r="M14" s="41">
        <v>3000</v>
      </c>
      <c r="N14" s="42">
        <v>86.4</v>
      </c>
      <c r="O14" s="76">
        <f>VLOOKUP($B14,'CIRS Table IDs'!$B:$P,14,FALSE)</f>
        <v>778</v>
      </c>
      <c r="P14" s="83"/>
      <c r="Q14" s="90"/>
    </row>
    <row r="15" spans="1:18" x14ac:dyDescent="0.2">
      <c r="A15" s="21">
        <v>32</v>
      </c>
      <c r="B15" s="45" t="s">
        <v>416</v>
      </c>
      <c r="C15" s="35">
        <f t="shared" si="0"/>
        <v>42707</v>
      </c>
      <c r="D15" s="36">
        <v>2016</v>
      </c>
      <c r="E15" s="36">
        <v>338</v>
      </c>
      <c r="F15" s="37">
        <v>0.21736111111111101</v>
      </c>
      <c r="G15" s="38">
        <v>0</v>
      </c>
      <c r="H15" s="37">
        <v>0.40625</v>
      </c>
      <c r="I15" s="35">
        <f t="shared" si="1"/>
        <v>42707</v>
      </c>
      <c r="J15" s="36">
        <v>2016</v>
      </c>
      <c r="K15" s="36">
        <v>338</v>
      </c>
      <c r="L15" s="37">
        <v>0.62361111111111101</v>
      </c>
      <c r="M15" s="41">
        <v>2000</v>
      </c>
      <c r="N15" s="42">
        <v>70.2</v>
      </c>
      <c r="O15" s="76">
        <f>VLOOKUP($B15,'CIRS Table IDs'!$B:$P,14,FALSE)</f>
        <v>781</v>
      </c>
      <c r="P15" s="83"/>
      <c r="Q15" s="90"/>
    </row>
    <row r="16" spans="1:18" x14ac:dyDescent="0.2">
      <c r="A16" s="21">
        <v>34</v>
      </c>
      <c r="B16" s="45" t="s">
        <v>418</v>
      </c>
      <c r="C16" s="35">
        <f t="shared" si="0"/>
        <v>42708</v>
      </c>
      <c r="D16" s="36">
        <v>2016</v>
      </c>
      <c r="E16" s="36">
        <v>339</v>
      </c>
      <c r="F16" s="37">
        <v>0.42569444444444399</v>
      </c>
      <c r="G16" s="38">
        <v>0</v>
      </c>
      <c r="H16" s="37">
        <v>0.19791666666666699</v>
      </c>
      <c r="I16" s="35">
        <f t="shared" si="1"/>
        <v>42708</v>
      </c>
      <c r="J16" s="36">
        <v>2016</v>
      </c>
      <c r="K16" s="36">
        <v>339</v>
      </c>
      <c r="L16" s="37">
        <v>0.62361111111111101</v>
      </c>
      <c r="M16" s="41">
        <v>3000</v>
      </c>
      <c r="N16" s="42">
        <v>51.3</v>
      </c>
      <c r="O16" s="76">
        <f>VLOOKUP($B16,'CIRS Table IDs'!$B:$P,14,FALSE)</f>
        <v>783</v>
      </c>
      <c r="P16" s="83"/>
      <c r="Q16" s="90"/>
    </row>
    <row r="17" spans="1:17" x14ac:dyDescent="0.2">
      <c r="A17" s="21">
        <v>36</v>
      </c>
      <c r="B17" s="45" t="s">
        <v>422</v>
      </c>
      <c r="C17" s="35">
        <f t="shared" si="0"/>
        <v>42708</v>
      </c>
      <c r="D17" s="36">
        <v>2016</v>
      </c>
      <c r="E17" s="36">
        <v>339</v>
      </c>
      <c r="F17" s="37">
        <v>0.84236111111111101</v>
      </c>
      <c r="G17" s="38">
        <v>0</v>
      </c>
      <c r="H17" s="37">
        <v>0.33333333333333298</v>
      </c>
      <c r="I17" s="35">
        <f t="shared" si="1"/>
        <v>42709</v>
      </c>
      <c r="J17" s="36">
        <v>2016</v>
      </c>
      <c r="K17" s="36">
        <v>340</v>
      </c>
      <c r="L17" s="37">
        <v>0.17569444444444399</v>
      </c>
      <c r="M17" s="41">
        <v>1500</v>
      </c>
      <c r="N17" s="42">
        <v>43.2</v>
      </c>
      <c r="O17" s="76">
        <f>VLOOKUP($B17,'CIRS Table IDs'!$B:$P,14,FALSE)</f>
        <v>785</v>
      </c>
      <c r="P17" s="83"/>
      <c r="Q17" s="90"/>
    </row>
    <row r="18" spans="1:17" x14ac:dyDescent="0.2">
      <c r="A18" s="21">
        <v>39</v>
      </c>
      <c r="B18" s="45" t="s">
        <v>430</v>
      </c>
      <c r="C18" s="35">
        <f t="shared" si="0"/>
        <v>42709</v>
      </c>
      <c r="D18" s="36">
        <v>2016</v>
      </c>
      <c r="E18" s="36">
        <v>340</v>
      </c>
      <c r="F18" s="37">
        <v>0.87916666666666698</v>
      </c>
      <c r="G18" s="38">
        <v>0</v>
      </c>
      <c r="H18" s="37">
        <v>0.33333333333333298</v>
      </c>
      <c r="I18" s="35">
        <f t="shared" si="1"/>
        <v>42710</v>
      </c>
      <c r="J18" s="36">
        <v>2016</v>
      </c>
      <c r="K18" s="36">
        <v>341</v>
      </c>
      <c r="L18" s="37">
        <v>0.21249999999999999</v>
      </c>
      <c r="M18" s="41">
        <v>3000</v>
      </c>
      <c r="N18" s="42">
        <v>86.4</v>
      </c>
      <c r="O18" s="76">
        <f>VLOOKUP($B18,'CIRS Table IDs'!$B:$P,14,FALSE)</f>
        <v>788</v>
      </c>
      <c r="P18" s="83"/>
      <c r="Q18" s="90"/>
    </row>
    <row r="19" spans="1:17" x14ac:dyDescent="0.2">
      <c r="A19" s="21">
        <v>41</v>
      </c>
      <c r="B19" s="45" t="s">
        <v>432</v>
      </c>
      <c r="C19" s="35">
        <f t="shared" si="0"/>
        <v>42710</v>
      </c>
      <c r="D19" s="36">
        <v>2016</v>
      </c>
      <c r="E19" s="36">
        <v>341</v>
      </c>
      <c r="F19" s="37">
        <v>0.87222222222222201</v>
      </c>
      <c r="G19" s="38">
        <v>0</v>
      </c>
      <c r="H19" s="37">
        <v>0.33333333333333298</v>
      </c>
      <c r="I19" s="35">
        <f t="shared" si="1"/>
        <v>42711</v>
      </c>
      <c r="J19" s="36">
        <v>2016</v>
      </c>
      <c r="K19" s="36">
        <v>342</v>
      </c>
      <c r="L19" s="37">
        <v>0.20555555555555599</v>
      </c>
      <c r="M19" s="41">
        <v>3000</v>
      </c>
      <c r="N19" s="42">
        <v>86.4</v>
      </c>
      <c r="O19" s="76">
        <f>VLOOKUP($B19,'CIRS Table IDs'!$B:$P,14,FALSE)</f>
        <v>790</v>
      </c>
      <c r="P19" s="83"/>
      <c r="Q19" s="90"/>
    </row>
    <row r="20" spans="1:17" x14ac:dyDescent="0.2">
      <c r="A20" s="21">
        <v>42</v>
      </c>
      <c r="B20" s="45" t="s">
        <v>433</v>
      </c>
      <c r="C20" s="35">
        <f t="shared" si="0"/>
        <v>42711</v>
      </c>
      <c r="D20" s="36">
        <v>2016</v>
      </c>
      <c r="E20" s="36">
        <v>342</v>
      </c>
      <c r="F20" s="37">
        <v>0.87916666666666698</v>
      </c>
      <c r="G20" s="38">
        <v>0</v>
      </c>
      <c r="H20" s="37">
        <v>0.33333333333333298</v>
      </c>
      <c r="I20" s="35">
        <f t="shared" si="1"/>
        <v>42712</v>
      </c>
      <c r="J20" s="36">
        <v>2016</v>
      </c>
      <c r="K20" s="36">
        <v>343</v>
      </c>
      <c r="L20" s="37">
        <v>0.21249999999999999</v>
      </c>
      <c r="M20" s="41">
        <v>1500</v>
      </c>
      <c r="N20" s="42">
        <v>43.2</v>
      </c>
      <c r="O20" s="76">
        <f>VLOOKUP($B20,'CIRS Table IDs'!$B:$P,14,FALSE)</f>
        <v>791</v>
      </c>
      <c r="P20" s="83"/>
      <c r="Q20" s="90"/>
    </row>
    <row r="21" spans="1:17" x14ac:dyDescent="0.2">
      <c r="A21" s="21">
        <v>43</v>
      </c>
      <c r="B21" s="45" t="s">
        <v>434</v>
      </c>
      <c r="C21" s="35">
        <f t="shared" si="0"/>
        <v>42717</v>
      </c>
      <c r="D21" s="36">
        <v>2016</v>
      </c>
      <c r="E21" s="36">
        <v>348</v>
      </c>
      <c r="F21" s="37">
        <v>0.86319444444444404</v>
      </c>
      <c r="G21" s="38">
        <v>0</v>
      </c>
      <c r="H21" s="37">
        <v>0.33333333333333298</v>
      </c>
      <c r="I21" s="35">
        <f t="shared" si="1"/>
        <v>42718</v>
      </c>
      <c r="J21" s="36">
        <v>2016</v>
      </c>
      <c r="K21" s="36">
        <v>349</v>
      </c>
      <c r="L21" s="37">
        <v>0.196527777777778</v>
      </c>
      <c r="M21" s="41">
        <v>1500</v>
      </c>
      <c r="N21" s="42">
        <v>43.2</v>
      </c>
      <c r="O21" s="76">
        <f>VLOOKUP($B21,'CIRS Table IDs'!$B:$P,14,FALSE)</f>
        <v>792</v>
      </c>
      <c r="P21" s="83"/>
      <c r="Q21" s="90"/>
    </row>
    <row r="22" spans="1:17" x14ac:dyDescent="0.2">
      <c r="A22" s="21">
        <v>44</v>
      </c>
      <c r="B22" s="45" t="s">
        <v>435</v>
      </c>
      <c r="C22" s="35">
        <f t="shared" si="0"/>
        <v>42718</v>
      </c>
      <c r="D22" s="36">
        <v>2016</v>
      </c>
      <c r="E22" s="36">
        <v>349</v>
      </c>
      <c r="F22" s="37">
        <v>0.85833333333333295</v>
      </c>
      <c r="G22" s="38">
        <v>0</v>
      </c>
      <c r="H22" s="37">
        <v>0.33333333333333298</v>
      </c>
      <c r="I22" s="35">
        <f t="shared" si="1"/>
        <v>42719</v>
      </c>
      <c r="J22" s="36">
        <v>2016</v>
      </c>
      <c r="K22" s="36">
        <v>350</v>
      </c>
      <c r="L22" s="37">
        <v>0.19166666666666701</v>
      </c>
      <c r="M22" s="41">
        <v>3000</v>
      </c>
      <c r="N22" s="42">
        <v>86.4</v>
      </c>
      <c r="O22" s="76">
        <f>VLOOKUP($B22,'CIRS Table IDs'!$B:$P,14,FALSE)</f>
        <v>793</v>
      </c>
      <c r="P22" s="83"/>
      <c r="Q22" s="90"/>
    </row>
    <row r="23" spans="1:17" x14ac:dyDescent="0.2">
      <c r="A23" s="21">
        <v>58</v>
      </c>
      <c r="B23" s="45" t="s">
        <v>454</v>
      </c>
      <c r="C23" s="35">
        <f t="shared" si="0"/>
        <v>42720</v>
      </c>
      <c r="D23" s="36">
        <v>2016</v>
      </c>
      <c r="E23" s="36">
        <v>351</v>
      </c>
      <c r="F23" s="37">
        <v>0.61319444444444404</v>
      </c>
      <c r="G23" s="38">
        <v>0</v>
      </c>
      <c r="H23" s="37">
        <v>0.29166666666666702</v>
      </c>
      <c r="I23" s="35">
        <f t="shared" si="1"/>
        <v>42720</v>
      </c>
      <c r="J23" s="36">
        <v>2016</v>
      </c>
      <c r="K23" s="36">
        <v>351</v>
      </c>
      <c r="L23" s="37">
        <v>0.90486111111111101</v>
      </c>
      <c r="M23" s="41">
        <v>3000</v>
      </c>
      <c r="N23" s="42">
        <v>75.599999999999994</v>
      </c>
      <c r="O23" s="76">
        <f>VLOOKUP($B23,'CIRS Table IDs'!$B:$P,14,FALSE)</f>
        <v>807</v>
      </c>
      <c r="P23" s="83"/>
      <c r="Q23" s="90"/>
    </row>
    <row r="24" spans="1:17" x14ac:dyDescent="0.2">
      <c r="A24" s="21">
        <v>60</v>
      </c>
      <c r="B24" s="45" t="s">
        <v>456</v>
      </c>
      <c r="C24" s="35">
        <f t="shared" si="0"/>
        <v>42721</v>
      </c>
      <c r="D24" s="36">
        <v>2016</v>
      </c>
      <c r="E24" s="36">
        <v>352</v>
      </c>
      <c r="F24" s="37">
        <v>0.81458333333333299</v>
      </c>
      <c r="G24" s="38">
        <v>0</v>
      </c>
      <c r="H24" s="37">
        <v>0.32291666666666702</v>
      </c>
      <c r="I24" s="35">
        <f t="shared" si="1"/>
        <v>42722</v>
      </c>
      <c r="J24" s="36">
        <v>2016</v>
      </c>
      <c r="K24" s="36">
        <v>353</v>
      </c>
      <c r="L24" s="37">
        <v>0.13750000000000001</v>
      </c>
      <c r="M24" s="41">
        <v>3000</v>
      </c>
      <c r="N24" s="42">
        <v>83.7</v>
      </c>
      <c r="O24" s="76">
        <f>VLOOKUP($B24,'CIRS Table IDs'!$B:$P,14,FALSE)</f>
        <v>809</v>
      </c>
      <c r="P24" s="83"/>
      <c r="Q24" s="90"/>
    </row>
    <row r="25" spans="1:17" x14ac:dyDescent="0.2">
      <c r="A25" s="21">
        <v>71</v>
      </c>
      <c r="B25" s="45" t="s">
        <v>475</v>
      </c>
      <c r="C25" s="35">
        <f t="shared" si="0"/>
        <v>42723</v>
      </c>
      <c r="D25" s="36">
        <v>2016</v>
      </c>
      <c r="E25" s="36">
        <v>354</v>
      </c>
      <c r="F25" s="37">
        <v>0.90902777777777799</v>
      </c>
      <c r="G25" s="38">
        <v>0</v>
      </c>
      <c r="H25" s="37">
        <v>0.34722222222222199</v>
      </c>
      <c r="I25" s="35">
        <f t="shared" si="1"/>
        <v>42724</v>
      </c>
      <c r="J25" s="36">
        <v>2016</v>
      </c>
      <c r="K25" s="36">
        <v>355</v>
      </c>
      <c r="L25" s="37">
        <v>0.25624999999999998</v>
      </c>
      <c r="M25" s="41">
        <v>3000</v>
      </c>
      <c r="N25" s="42">
        <v>90</v>
      </c>
      <c r="O25" s="76">
        <f>VLOOKUP($B25,'CIRS Table IDs'!$B:$P,14,FALSE)</f>
        <v>820</v>
      </c>
      <c r="P25" s="83"/>
      <c r="Q25" s="90"/>
    </row>
    <row r="26" spans="1:17" x14ac:dyDescent="0.2">
      <c r="A26" s="21">
        <v>75</v>
      </c>
      <c r="B26" s="45" t="s">
        <v>482</v>
      </c>
      <c r="C26" s="35">
        <f t="shared" si="0"/>
        <v>42724</v>
      </c>
      <c r="D26" s="36">
        <v>2016</v>
      </c>
      <c r="E26" s="36">
        <v>355</v>
      </c>
      <c r="F26" s="37">
        <v>0.86527777777777803</v>
      </c>
      <c r="G26" s="38">
        <v>0</v>
      </c>
      <c r="H26" s="37">
        <v>0.30902777777777801</v>
      </c>
      <c r="I26" s="35">
        <f t="shared" si="1"/>
        <v>42725</v>
      </c>
      <c r="J26" s="36">
        <v>2016</v>
      </c>
      <c r="K26" s="36">
        <v>356</v>
      </c>
      <c r="L26" s="37">
        <v>0.17430555555555599</v>
      </c>
      <c r="M26" s="41">
        <v>3000</v>
      </c>
      <c r="N26" s="42">
        <v>80.099999999999994</v>
      </c>
      <c r="O26" s="76">
        <f>VLOOKUP($B26,'CIRS Table IDs'!$B:$P,14,FALSE)</f>
        <v>824</v>
      </c>
      <c r="P26" s="83"/>
      <c r="Q26" s="90"/>
    </row>
    <row r="27" spans="1:17" x14ac:dyDescent="0.2">
      <c r="A27" s="21">
        <v>77</v>
      </c>
      <c r="B27" s="45" t="s">
        <v>484</v>
      </c>
      <c r="C27" s="35">
        <f t="shared" si="0"/>
        <v>42725</v>
      </c>
      <c r="D27" s="36">
        <v>2016</v>
      </c>
      <c r="E27" s="36">
        <v>356</v>
      </c>
      <c r="F27" s="37">
        <v>0.84791666666666698</v>
      </c>
      <c r="G27" s="38">
        <v>0</v>
      </c>
      <c r="H27" s="37">
        <v>0.33333333333333298</v>
      </c>
      <c r="I27" s="35">
        <f t="shared" si="1"/>
        <v>42726</v>
      </c>
      <c r="J27" s="36">
        <v>2016</v>
      </c>
      <c r="K27" s="36">
        <v>357</v>
      </c>
      <c r="L27" s="37">
        <v>0.18124999999999999</v>
      </c>
      <c r="M27" s="41">
        <v>1500</v>
      </c>
      <c r="N27" s="42">
        <v>43.2</v>
      </c>
      <c r="O27" s="76">
        <f>VLOOKUP($B27,'CIRS Table IDs'!$B:$P,14,FALSE)</f>
        <v>826</v>
      </c>
      <c r="P27" s="83"/>
      <c r="Q27" s="90"/>
    </row>
    <row r="28" spans="1:17" x14ac:dyDescent="0.2">
      <c r="A28" s="21">
        <v>78</v>
      </c>
      <c r="B28" s="45" t="s">
        <v>485</v>
      </c>
      <c r="C28" s="35">
        <f t="shared" si="0"/>
        <v>42726</v>
      </c>
      <c r="D28" s="36">
        <v>2016</v>
      </c>
      <c r="E28" s="36">
        <v>357</v>
      </c>
      <c r="F28" s="37">
        <v>0.84236111111111101</v>
      </c>
      <c r="G28" s="38">
        <v>0</v>
      </c>
      <c r="H28" s="37">
        <v>0.33333333333333298</v>
      </c>
      <c r="I28" s="35">
        <f t="shared" si="1"/>
        <v>42727</v>
      </c>
      <c r="J28" s="36">
        <v>2016</v>
      </c>
      <c r="K28" s="36">
        <v>358</v>
      </c>
      <c r="L28" s="37">
        <v>0.17569444444444399</v>
      </c>
      <c r="M28" s="41">
        <v>3000</v>
      </c>
      <c r="N28" s="42">
        <v>86.4</v>
      </c>
      <c r="O28" s="76">
        <f>VLOOKUP($B28,'CIRS Table IDs'!$B:$P,14,FALSE)</f>
        <v>827</v>
      </c>
      <c r="P28" s="83"/>
      <c r="Q28" s="90"/>
    </row>
    <row r="29" spans="1:17" x14ac:dyDescent="0.2">
      <c r="A29" s="21">
        <v>81</v>
      </c>
      <c r="B29" s="45" t="s">
        <v>493</v>
      </c>
      <c r="C29" s="35">
        <f t="shared" si="0"/>
        <v>42727</v>
      </c>
      <c r="D29" s="36">
        <v>2016</v>
      </c>
      <c r="E29" s="36">
        <v>358</v>
      </c>
      <c r="F29" s="37">
        <v>0.83194444444444404</v>
      </c>
      <c r="G29" s="38">
        <v>0</v>
      </c>
      <c r="H29" s="37">
        <v>0.33333333333333298</v>
      </c>
      <c r="I29" s="35">
        <f t="shared" si="1"/>
        <v>42728</v>
      </c>
      <c r="J29" s="36">
        <v>2016</v>
      </c>
      <c r="K29" s="36">
        <v>359</v>
      </c>
      <c r="L29" s="37">
        <v>0.165277777777778</v>
      </c>
      <c r="M29" s="41">
        <v>3000</v>
      </c>
      <c r="N29" s="42">
        <v>86.4</v>
      </c>
      <c r="O29" s="76">
        <f>VLOOKUP($B29,'CIRS Table IDs'!$B:$P,14,FALSE)</f>
        <v>830</v>
      </c>
      <c r="P29" s="83"/>
      <c r="Q29" s="90"/>
    </row>
    <row r="30" spans="1:17" x14ac:dyDescent="0.2">
      <c r="A30" s="21">
        <v>82</v>
      </c>
      <c r="B30" s="45" t="s">
        <v>494</v>
      </c>
      <c r="C30" s="35">
        <f t="shared" si="0"/>
        <v>42728</v>
      </c>
      <c r="D30" s="36">
        <v>2016</v>
      </c>
      <c r="E30" s="36">
        <v>359</v>
      </c>
      <c r="F30" s="37">
        <v>0.83194444444444404</v>
      </c>
      <c r="G30" s="38">
        <v>0</v>
      </c>
      <c r="H30" s="37">
        <v>0.33333333333333298</v>
      </c>
      <c r="I30" s="35">
        <f t="shared" si="1"/>
        <v>42729</v>
      </c>
      <c r="J30" s="36">
        <v>2016</v>
      </c>
      <c r="K30" s="36">
        <v>360</v>
      </c>
      <c r="L30" s="37">
        <v>0.165277777777778</v>
      </c>
      <c r="M30" s="41">
        <v>1500</v>
      </c>
      <c r="N30" s="42">
        <v>43.2</v>
      </c>
      <c r="O30" s="76">
        <f>VLOOKUP($B30,'CIRS Table IDs'!$B:$P,14,FALSE)</f>
        <v>831</v>
      </c>
      <c r="P30" s="83"/>
      <c r="Q30" s="90"/>
    </row>
    <row r="31" spans="1:17" x14ac:dyDescent="0.2">
      <c r="A31" s="21">
        <v>83</v>
      </c>
      <c r="B31" s="45" t="s">
        <v>495</v>
      </c>
      <c r="C31" s="35">
        <f t="shared" si="0"/>
        <v>42729</v>
      </c>
      <c r="D31" s="36">
        <v>2016</v>
      </c>
      <c r="E31" s="36">
        <v>360</v>
      </c>
      <c r="F31" s="37">
        <v>0.38541666666666702</v>
      </c>
      <c r="G31" s="38">
        <v>0</v>
      </c>
      <c r="H31" s="37">
        <v>4.1666666666666699E-2</v>
      </c>
      <c r="I31" s="35">
        <f t="shared" si="1"/>
        <v>42729</v>
      </c>
      <c r="J31" s="36">
        <v>2016</v>
      </c>
      <c r="K31" s="36">
        <v>360</v>
      </c>
      <c r="L31" s="37">
        <v>0.42708333333333298</v>
      </c>
      <c r="M31" s="41">
        <v>3000</v>
      </c>
      <c r="N31" s="42">
        <v>10.8</v>
      </c>
      <c r="O31" s="76">
        <f>VLOOKUP($B31,'CIRS Table IDs'!$B:$P,14,FALSE)</f>
        <v>832</v>
      </c>
      <c r="P31" s="83"/>
      <c r="Q31" s="90"/>
    </row>
    <row r="32" spans="1:17" x14ac:dyDescent="0.2">
      <c r="A32" s="21">
        <v>88</v>
      </c>
      <c r="B32" s="45" t="s">
        <v>504</v>
      </c>
      <c r="C32" s="35">
        <f t="shared" si="0"/>
        <v>42731</v>
      </c>
      <c r="D32" s="36">
        <v>2016</v>
      </c>
      <c r="E32" s="36">
        <v>362</v>
      </c>
      <c r="F32" s="37">
        <v>0.30138888888888898</v>
      </c>
      <c r="G32" s="38">
        <v>0</v>
      </c>
      <c r="H32" s="37">
        <v>0.23958333333333301</v>
      </c>
      <c r="I32" s="35">
        <f t="shared" si="1"/>
        <v>42731</v>
      </c>
      <c r="J32" s="36">
        <v>2016</v>
      </c>
      <c r="K32" s="36">
        <v>362</v>
      </c>
      <c r="L32" s="37">
        <v>0.54097222222222197</v>
      </c>
      <c r="M32" s="41">
        <v>3000</v>
      </c>
      <c r="N32" s="42">
        <v>62.1</v>
      </c>
      <c r="O32" s="76">
        <f>VLOOKUP($B32,'CIRS Table IDs'!$B:$P,14,FALSE)</f>
        <v>837</v>
      </c>
      <c r="P32" s="83"/>
      <c r="Q32" s="90"/>
    </row>
    <row r="33" spans="1:17" x14ac:dyDescent="0.2">
      <c r="A33" s="21">
        <v>89</v>
      </c>
      <c r="B33" s="45" t="s">
        <v>505</v>
      </c>
      <c r="C33" s="35">
        <f t="shared" si="0"/>
        <v>42732</v>
      </c>
      <c r="D33" s="36">
        <v>2016</v>
      </c>
      <c r="E33" s="36">
        <v>363</v>
      </c>
      <c r="F33" s="37">
        <v>0.82708333333333295</v>
      </c>
      <c r="G33" s="38">
        <v>0</v>
      </c>
      <c r="H33" s="37">
        <v>0.33333333333333298</v>
      </c>
      <c r="I33" s="35">
        <f t="shared" si="1"/>
        <v>42733</v>
      </c>
      <c r="J33" s="36">
        <v>2016</v>
      </c>
      <c r="K33" s="36">
        <v>364</v>
      </c>
      <c r="L33" s="37">
        <v>0.16041666666666701</v>
      </c>
      <c r="M33" s="41">
        <v>3000</v>
      </c>
      <c r="N33" s="42">
        <v>86.4</v>
      </c>
      <c r="O33" s="76">
        <f>VLOOKUP($B33,'CIRS Table IDs'!$B:$P,14,FALSE)</f>
        <v>838</v>
      </c>
      <c r="P33" s="83"/>
      <c r="Q33" s="90"/>
    </row>
    <row r="34" spans="1:17" x14ac:dyDescent="0.2">
      <c r="A34" s="21">
        <v>90</v>
      </c>
      <c r="B34" s="45" t="s">
        <v>506</v>
      </c>
      <c r="C34" s="35">
        <f t="shared" si="0"/>
        <v>42734</v>
      </c>
      <c r="D34" s="36">
        <v>2016</v>
      </c>
      <c r="E34" s="36">
        <v>365</v>
      </c>
      <c r="F34" s="37">
        <v>0.280555555555556</v>
      </c>
      <c r="G34" s="38">
        <v>0</v>
      </c>
      <c r="H34" s="37">
        <v>0.27083333333333298</v>
      </c>
      <c r="I34" s="35">
        <f t="shared" si="1"/>
        <v>42734</v>
      </c>
      <c r="J34" s="36">
        <v>2016</v>
      </c>
      <c r="K34" s="36">
        <v>365</v>
      </c>
      <c r="L34" s="37">
        <v>0.55138888888888904</v>
      </c>
      <c r="M34" s="41">
        <v>3000</v>
      </c>
      <c r="N34" s="42">
        <v>70.2</v>
      </c>
      <c r="O34" s="76">
        <f>VLOOKUP($B34,'CIRS Table IDs'!$B:$P,14,FALSE)</f>
        <v>839</v>
      </c>
      <c r="P34" s="83"/>
      <c r="Q34" s="90"/>
    </row>
    <row r="35" spans="1:17" x14ac:dyDescent="0.2">
      <c r="A35" s="21">
        <v>97</v>
      </c>
      <c r="B35" s="45" t="s">
        <v>513</v>
      </c>
      <c r="C35" s="35">
        <f t="shared" si="0"/>
        <v>42736</v>
      </c>
      <c r="D35" s="36">
        <v>2017</v>
      </c>
      <c r="E35" s="36">
        <v>1</v>
      </c>
      <c r="F35" s="37">
        <v>0.105555555555556</v>
      </c>
      <c r="G35" s="38">
        <v>0</v>
      </c>
      <c r="H35" s="37">
        <v>0.12291666666666699</v>
      </c>
      <c r="I35" s="35">
        <f t="shared" si="1"/>
        <v>42736</v>
      </c>
      <c r="J35" s="36">
        <v>2017</v>
      </c>
      <c r="K35" s="36">
        <v>1</v>
      </c>
      <c r="L35" s="37">
        <v>0.22847222222222199</v>
      </c>
      <c r="M35" s="41">
        <v>3000</v>
      </c>
      <c r="N35" s="42">
        <v>31.86</v>
      </c>
      <c r="O35" s="76">
        <f>VLOOKUP($B35,'CIRS Table IDs'!$B:$P,14,FALSE)</f>
        <v>846</v>
      </c>
      <c r="P35" s="83"/>
      <c r="Q35" s="90"/>
    </row>
    <row r="36" spans="1:17" x14ac:dyDescent="0.2">
      <c r="A36" s="21">
        <v>106</v>
      </c>
      <c r="B36" s="45" t="s">
        <v>529</v>
      </c>
      <c r="C36" s="35">
        <f t="shared" si="0"/>
        <v>42738</v>
      </c>
      <c r="D36" s="36">
        <v>2017</v>
      </c>
      <c r="E36" s="36">
        <v>3</v>
      </c>
      <c r="F36" s="37">
        <v>0.29097222222222202</v>
      </c>
      <c r="G36" s="38">
        <v>0</v>
      </c>
      <c r="H36" s="37">
        <v>0.25</v>
      </c>
      <c r="I36" s="35">
        <f t="shared" si="1"/>
        <v>42738</v>
      </c>
      <c r="J36" s="36">
        <v>2017</v>
      </c>
      <c r="K36" s="36">
        <v>3</v>
      </c>
      <c r="L36" s="37">
        <v>0.54097222222222197</v>
      </c>
      <c r="M36" s="41">
        <v>3000</v>
      </c>
      <c r="N36" s="42">
        <v>64.8</v>
      </c>
      <c r="O36" s="76">
        <f>VLOOKUP($B36,'CIRS Table IDs'!$B:$P,14,FALSE)</f>
        <v>855</v>
      </c>
      <c r="P36" s="83"/>
      <c r="Q36" s="90"/>
    </row>
    <row r="37" spans="1:17" x14ac:dyDescent="0.2">
      <c r="A37" s="21">
        <v>110</v>
      </c>
      <c r="B37" s="45" t="s">
        <v>536</v>
      </c>
      <c r="C37" s="35">
        <f t="shared" si="0"/>
        <v>42739</v>
      </c>
      <c r="D37" s="36">
        <v>2017</v>
      </c>
      <c r="E37" s="36">
        <v>4</v>
      </c>
      <c r="F37" s="37">
        <v>0.89513888888888904</v>
      </c>
      <c r="G37" s="38">
        <v>0</v>
      </c>
      <c r="H37" s="37">
        <v>0.33333333333333298</v>
      </c>
      <c r="I37" s="35">
        <f t="shared" si="1"/>
        <v>42740</v>
      </c>
      <c r="J37" s="36">
        <v>2017</v>
      </c>
      <c r="K37" s="36">
        <v>5</v>
      </c>
      <c r="L37" s="37">
        <v>0.22847222222222199</v>
      </c>
      <c r="M37" s="41">
        <v>3000</v>
      </c>
      <c r="N37" s="42">
        <v>86.4</v>
      </c>
      <c r="O37" s="76">
        <f>VLOOKUP($B37,'CIRS Table IDs'!$B:$P,14,FALSE)</f>
        <v>859</v>
      </c>
      <c r="P37" s="83"/>
      <c r="Q37" s="90"/>
    </row>
    <row r="38" spans="1:17" x14ac:dyDescent="0.2">
      <c r="A38" s="21">
        <v>112</v>
      </c>
      <c r="B38" s="45" t="s">
        <v>540</v>
      </c>
      <c r="C38" s="35">
        <f t="shared" si="0"/>
        <v>42740</v>
      </c>
      <c r="D38" s="36">
        <v>2017</v>
      </c>
      <c r="E38" s="36">
        <v>5</v>
      </c>
      <c r="F38" s="37">
        <v>0.80625000000000002</v>
      </c>
      <c r="G38" s="38">
        <v>0</v>
      </c>
      <c r="H38" s="37">
        <v>0.33333333333333298</v>
      </c>
      <c r="I38" s="35">
        <f t="shared" si="1"/>
        <v>42741</v>
      </c>
      <c r="J38" s="36">
        <v>2017</v>
      </c>
      <c r="K38" s="36">
        <v>6</v>
      </c>
      <c r="L38" s="37">
        <v>0.139583333333333</v>
      </c>
      <c r="M38" s="41">
        <v>3000</v>
      </c>
      <c r="N38" s="42">
        <v>86.4</v>
      </c>
      <c r="O38" s="76">
        <f>VLOOKUP($B38,'CIRS Table IDs'!$B:$P,14,FALSE)</f>
        <v>861</v>
      </c>
      <c r="P38" s="83"/>
      <c r="Q38" s="90"/>
    </row>
    <row r="39" spans="1:17" x14ac:dyDescent="0.2">
      <c r="A39" s="21">
        <v>113</v>
      </c>
      <c r="B39" s="45" t="s">
        <v>541</v>
      </c>
      <c r="C39" s="35">
        <f t="shared" si="0"/>
        <v>42741</v>
      </c>
      <c r="D39" s="36">
        <v>2017</v>
      </c>
      <c r="E39" s="36">
        <v>6</v>
      </c>
      <c r="F39" s="37">
        <v>0.77083333333333304</v>
      </c>
      <c r="G39" s="38">
        <v>0</v>
      </c>
      <c r="H39" s="37">
        <v>0.33333333333333298</v>
      </c>
      <c r="I39" s="35">
        <f t="shared" si="1"/>
        <v>42742</v>
      </c>
      <c r="J39" s="36">
        <v>2017</v>
      </c>
      <c r="K39" s="36">
        <v>7</v>
      </c>
      <c r="L39" s="37">
        <v>0.104166666666667</v>
      </c>
      <c r="M39" s="41">
        <v>3000</v>
      </c>
      <c r="N39" s="42">
        <v>86.4</v>
      </c>
      <c r="O39" s="76">
        <f>VLOOKUP($B39,'CIRS Table IDs'!$B:$P,14,FALSE)</f>
        <v>862</v>
      </c>
      <c r="P39" s="83"/>
      <c r="Q39" s="90"/>
    </row>
    <row r="40" spans="1:17" x14ac:dyDescent="0.2">
      <c r="A40" s="21">
        <v>118</v>
      </c>
      <c r="B40" s="45" t="s">
        <v>548</v>
      </c>
      <c r="C40" s="35">
        <f t="shared" ref="C40:C62" si="2">DATE(D40,1,E40)</f>
        <v>42743</v>
      </c>
      <c r="D40" s="36">
        <v>2017</v>
      </c>
      <c r="E40" s="36">
        <v>8</v>
      </c>
      <c r="F40" s="37">
        <v>0.55138888888888904</v>
      </c>
      <c r="G40" s="38">
        <v>0</v>
      </c>
      <c r="H40" s="37">
        <v>0.33333333333333298</v>
      </c>
      <c r="I40" s="35">
        <f t="shared" si="1"/>
        <v>42743</v>
      </c>
      <c r="J40" s="36">
        <v>2017</v>
      </c>
      <c r="K40" s="36">
        <v>8</v>
      </c>
      <c r="L40" s="37">
        <v>0.88472222222222197</v>
      </c>
      <c r="M40" s="41">
        <v>3000</v>
      </c>
      <c r="N40" s="42">
        <v>86.4</v>
      </c>
      <c r="O40" s="76">
        <f>VLOOKUP($B40,'CIRS Table IDs'!$B:$P,14,FALSE)</f>
        <v>867</v>
      </c>
      <c r="P40" s="83"/>
      <c r="Q40" s="90"/>
    </row>
    <row r="41" spans="1:17" x14ac:dyDescent="0.2">
      <c r="A41" s="21">
        <v>127</v>
      </c>
      <c r="B41" s="45" t="s">
        <v>560</v>
      </c>
      <c r="C41" s="35">
        <f t="shared" si="2"/>
        <v>42745</v>
      </c>
      <c r="D41" s="36">
        <v>2017</v>
      </c>
      <c r="E41" s="36">
        <v>10</v>
      </c>
      <c r="F41" s="37">
        <v>0.55138888888888904</v>
      </c>
      <c r="G41" s="38">
        <v>0</v>
      </c>
      <c r="H41" s="37">
        <v>0.26250000000000001</v>
      </c>
      <c r="I41" s="35">
        <f t="shared" ref="I41:I61" si="3">DATE(J41,1,K41)</f>
        <v>42745</v>
      </c>
      <c r="J41" s="36">
        <v>2017</v>
      </c>
      <c r="K41" s="36">
        <v>10</v>
      </c>
      <c r="L41" s="37">
        <v>0.81388888888888899</v>
      </c>
      <c r="M41" s="41">
        <v>3000</v>
      </c>
      <c r="N41" s="42">
        <v>68.040000000000006</v>
      </c>
      <c r="O41" s="76">
        <f>VLOOKUP($B41,'CIRS Table IDs'!$B:$P,14,FALSE)</f>
        <v>876</v>
      </c>
      <c r="P41" s="83"/>
      <c r="Q41" s="90"/>
    </row>
    <row r="42" spans="1:17" x14ac:dyDescent="0.2">
      <c r="A42" s="21">
        <v>131</v>
      </c>
      <c r="B42" s="45" t="s">
        <v>564</v>
      </c>
      <c r="C42" s="35">
        <f t="shared" si="2"/>
        <v>42746</v>
      </c>
      <c r="D42" s="36">
        <v>2017</v>
      </c>
      <c r="E42" s="36">
        <v>11</v>
      </c>
      <c r="F42" s="37">
        <v>0.55138888888888904</v>
      </c>
      <c r="G42" s="38">
        <v>0</v>
      </c>
      <c r="H42" s="37">
        <v>0.29930555555555599</v>
      </c>
      <c r="I42" s="35">
        <f t="shared" si="3"/>
        <v>42746</v>
      </c>
      <c r="J42" s="36">
        <v>2017</v>
      </c>
      <c r="K42" s="36">
        <v>11</v>
      </c>
      <c r="L42" s="37">
        <v>0.85069444444444497</v>
      </c>
      <c r="M42" s="41">
        <v>1636</v>
      </c>
      <c r="N42" s="42">
        <v>42.307000000000002</v>
      </c>
      <c r="O42" s="76">
        <f>VLOOKUP($B42,'CIRS Table IDs'!$B:$P,14,FALSE)</f>
        <v>880</v>
      </c>
      <c r="P42" s="83"/>
      <c r="Q42" s="90"/>
    </row>
    <row r="43" spans="1:17" x14ac:dyDescent="0.2">
      <c r="A43" s="21">
        <v>134</v>
      </c>
      <c r="B43" s="45" t="s">
        <v>567</v>
      </c>
      <c r="C43" s="35">
        <f t="shared" si="2"/>
        <v>42747</v>
      </c>
      <c r="D43" s="36">
        <v>2017</v>
      </c>
      <c r="E43" s="36">
        <v>12</v>
      </c>
      <c r="F43" s="37">
        <v>0.79652777777777795</v>
      </c>
      <c r="G43" s="38">
        <v>0</v>
      </c>
      <c r="H43" s="37">
        <v>0.33333333333333298</v>
      </c>
      <c r="I43" s="35">
        <f t="shared" si="3"/>
        <v>42748</v>
      </c>
      <c r="J43" s="36">
        <v>2017</v>
      </c>
      <c r="K43" s="36">
        <v>13</v>
      </c>
      <c r="L43" s="37">
        <v>0.12986111111111101</v>
      </c>
      <c r="M43" s="41">
        <v>3000</v>
      </c>
      <c r="N43" s="42">
        <v>86.4</v>
      </c>
      <c r="O43" s="76">
        <f>VLOOKUP($B43,'CIRS Table IDs'!$B:$P,14,FALSE)</f>
        <v>883</v>
      </c>
      <c r="P43" s="83"/>
      <c r="Q43" s="90"/>
    </row>
    <row r="44" spans="1:17" x14ac:dyDescent="0.2">
      <c r="A44" s="21">
        <v>137</v>
      </c>
      <c r="B44" s="45" t="s">
        <v>570</v>
      </c>
      <c r="C44" s="35">
        <f t="shared" si="2"/>
        <v>42748</v>
      </c>
      <c r="D44" s="36">
        <v>2017</v>
      </c>
      <c r="E44" s="36">
        <v>13</v>
      </c>
      <c r="F44" s="37">
        <v>0.79097222222222197</v>
      </c>
      <c r="G44" s="38">
        <v>0</v>
      </c>
      <c r="H44" s="37">
        <v>0.33333333333333298</v>
      </c>
      <c r="I44" s="35">
        <f t="shared" si="3"/>
        <v>42749</v>
      </c>
      <c r="J44" s="36">
        <v>2017</v>
      </c>
      <c r="K44" s="36">
        <v>14</v>
      </c>
      <c r="L44" s="37">
        <v>0.124305555555556</v>
      </c>
      <c r="M44" s="41">
        <v>3000</v>
      </c>
      <c r="N44" s="42">
        <v>86.4</v>
      </c>
      <c r="O44" s="76">
        <f>VLOOKUP($B44,'CIRS Table IDs'!$B:$P,14,FALSE)</f>
        <v>886</v>
      </c>
      <c r="P44" s="83"/>
      <c r="Q44" s="90"/>
    </row>
    <row r="45" spans="1:17" x14ac:dyDescent="0.2">
      <c r="A45" s="21">
        <v>142</v>
      </c>
      <c r="B45" s="45" t="s">
        <v>575</v>
      </c>
      <c r="C45" s="35">
        <f t="shared" si="2"/>
        <v>42750</v>
      </c>
      <c r="D45" s="36">
        <v>2017</v>
      </c>
      <c r="E45" s="36">
        <v>15</v>
      </c>
      <c r="F45" s="37">
        <v>0.54166666666666696</v>
      </c>
      <c r="G45" s="38">
        <v>0</v>
      </c>
      <c r="H45" s="37">
        <v>0.21388888888888899</v>
      </c>
      <c r="I45" s="35">
        <f t="shared" si="3"/>
        <v>42750</v>
      </c>
      <c r="J45" s="36">
        <v>2017</v>
      </c>
      <c r="K45" s="36">
        <v>15</v>
      </c>
      <c r="L45" s="37">
        <v>0.75555555555555598</v>
      </c>
      <c r="M45" s="41">
        <v>3000</v>
      </c>
      <c r="N45" s="42">
        <v>55.44</v>
      </c>
      <c r="O45" s="76">
        <f>VLOOKUP($B45,'CIRS Table IDs'!$B:$P,14,FALSE)</f>
        <v>891</v>
      </c>
      <c r="P45" s="83"/>
      <c r="Q45" s="90"/>
    </row>
    <row r="46" spans="1:17" x14ac:dyDescent="0.2">
      <c r="A46" s="21">
        <v>152</v>
      </c>
      <c r="B46" s="45" t="s">
        <v>588</v>
      </c>
      <c r="C46" s="35">
        <f t="shared" si="2"/>
        <v>42752</v>
      </c>
      <c r="D46" s="36">
        <v>2017</v>
      </c>
      <c r="E46" s="36">
        <v>17</v>
      </c>
      <c r="F46" s="37">
        <v>0.70833333333333304</v>
      </c>
      <c r="G46" s="38">
        <v>0</v>
      </c>
      <c r="H46" s="37">
        <v>0.264583333333333</v>
      </c>
      <c r="I46" s="35">
        <f t="shared" si="3"/>
        <v>42752</v>
      </c>
      <c r="J46" s="36">
        <v>2017</v>
      </c>
      <c r="K46" s="36">
        <v>17</v>
      </c>
      <c r="L46" s="37">
        <v>0.97291666666666698</v>
      </c>
      <c r="M46" s="41">
        <v>3000</v>
      </c>
      <c r="N46" s="42">
        <v>68.58</v>
      </c>
      <c r="O46" s="76">
        <f>VLOOKUP($B46,'CIRS Table IDs'!$B:$P,14,FALSE)</f>
        <v>901</v>
      </c>
      <c r="P46" s="83"/>
      <c r="Q46" s="90"/>
    </row>
    <row r="47" spans="1:17" x14ac:dyDescent="0.2">
      <c r="A47" s="21">
        <v>154</v>
      </c>
      <c r="B47" s="45" t="s">
        <v>590</v>
      </c>
      <c r="C47" s="35">
        <f t="shared" si="2"/>
        <v>42753</v>
      </c>
      <c r="D47" s="36">
        <v>2017</v>
      </c>
      <c r="E47" s="36">
        <v>18</v>
      </c>
      <c r="F47" s="37">
        <v>0.75624999999999998</v>
      </c>
      <c r="G47" s="38">
        <v>0</v>
      </c>
      <c r="H47" s="37">
        <v>0.33333333333333298</v>
      </c>
      <c r="I47" s="35">
        <f t="shared" si="3"/>
        <v>42754</v>
      </c>
      <c r="J47" s="36">
        <v>2017</v>
      </c>
      <c r="K47" s="36">
        <v>19</v>
      </c>
      <c r="L47" s="37">
        <v>8.9583333333333307E-2</v>
      </c>
      <c r="M47" s="41">
        <v>3000</v>
      </c>
      <c r="N47" s="42">
        <v>86.4</v>
      </c>
      <c r="O47" s="76">
        <f>VLOOKUP($B47,'CIRS Table IDs'!$B:$P,14,FALSE)</f>
        <v>903</v>
      </c>
      <c r="P47" s="83"/>
      <c r="Q47" s="90"/>
    </row>
    <row r="48" spans="1:17" x14ac:dyDescent="0.2">
      <c r="A48" s="21">
        <v>156</v>
      </c>
      <c r="B48" s="45" t="s">
        <v>592</v>
      </c>
      <c r="C48" s="35">
        <f t="shared" si="2"/>
        <v>42754</v>
      </c>
      <c r="D48" s="36">
        <v>2017</v>
      </c>
      <c r="E48" s="36">
        <v>19</v>
      </c>
      <c r="F48" s="37">
        <v>0.77569444444444402</v>
      </c>
      <c r="G48" s="38">
        <v>0</v>
      </c>
      <c r="H48" s="37">
        <v>0.33333333333333298</v>
      </c>
      <c r="I48" s="35">
        <f t="shared" si="3"/>
        <v>42755</v>
      </c>
      <c r="J48" s="36">
        <v>2017</v>
      </c>
      <c r="K48" s="36">
        <v>20</v>
      </c>
      <c r="L48" s="37">
        <v>0.109027777777778</v>
      </c>
      <c r="M48" s="41">
        <v>3000</v>
      </c>
      <c r="N48" s="42">
        <v>86.4</v>
      </c>
      <c r="O48" s="76">
        <f>VLOOKUP($B48,'CIRS Table IDs'!$B:$P,14,FALSE)</f>
        <v>905</v>
      </c>
      <c r="P48" s="83"/>
      <c r="Q48" s="90"/>
    </row>
    <row r="49" spans="1:17" x14ac:dyDescent="0.2">
      <c r="A49" s="21">
        <v>157</v>
      </c>
      <c r="B49" s="45" t="s">
        <v>593</v>
      </c>
      <c r="C49" s="35">
        <f t="shared" si="2"/>
        <v>42755</v>
      </c>
      <c r="D49" s="36">
        <v>2017</v>
      </c>
      <c r="E49" s="36">
        <v>20</v>
      </c>
      <c r="F49" s="37">
        <v>0.77638888888888902</v>
      </c>
      <c r="G49" s="38">
        <v>0</v>
      </c>
      <c r="H49" s="37">
        <v>0.33333333333333298</v>
      </c>
      <c r="I49" s="35">
        <f t="shared" si="3"/>
        <v>42756</v>
      </c>
      <c r="J49" s="36">
        <v>2017</v>
      </c>
      <c r="K49" s="36">
        <v>21</v>
      </c>
      <c r="L49" s="37">
        <v>0.109722222222222</v>
      </c>
      <c r="M49" s="41">
        <v>3000</v>
      </c>
      <c r="N49" s="42">
        <v>86.4</v>
      </c>
      <c r="O49" s="76">
        <f>VLOOKUP($B49,'CIRS Table IDs'!$B:$P,14,FALSE)</f>
        <v>906</v>
      </c>
      <c r="P49" s="83"/>
      <c r="Q49" s="90"/>
    </row>
    <row r="50" spans="1:17" x14ac:dyDescent="0.2">
      <c r="A50" s="21">
        <v>159</v>
      </c>
      <c r="B50" s="45" t="s">
        <v>595</v>
      </c>
      <c r="C50" s="35">
        <f t="shared" si="2"/>
        <v>42756</v>
      </c>
      <c r="D50" s="36">
        <v>2017</v>
      </c>
      <c r="E50" s="36">
        <v>21</v>
      </c>
      <c r="F50" s="37">
        <v>0.77083333333333304</v>
      </c>
      <c r="G50" s="38">
        <v>0</v>
      </c>
      <c r="H50" s="37">
        <v>0.33333333333333298</v>
      </c>
      <c r="I50" s="35">
        <f t="shared" si="3"/>
        <v>42757</v>
      </c>
      <c r="J50" s="36">
        <v>2017</v>
      </c>
      <c r="K50" s="36">
        <v>22</v>
      </c>
      <c r="L50" s="37">
        <v>0.104166666666667</v>
      </c>
      <c r="M50" s="41">
        <v>3000</v>
      </c>
      <c r="N50" s="42">
        <v>86.4</v>
      </c>
      <c r="O50" s="76">
        <f>VLOOKUP($B50,'CIRS Table IDs'!$B:$P,14,FALSE)</f>
        <v>908</v>
      </c>
      <c r="P50" s="83"/>
      <c r="Q50" s="90"/>
    </row>
    <row r="51" spans="1:17" x14ac:dyDescent="0.2">
      <c r="A51" s="21">
        <v>161</v>
      </c>
      <c r="B51" s="45" t="s">
        <v>597</v>
      </c>
      <c r="C51" s="35">
        <f t="shared" si="2"/>
        <v>42757</v>
      </c>
      <c r="D51" s="36">
        <v>2017</v>
      </c>
      <c r="E51" s="36">
        <v>22</v>
      </c>
      <c r="F51" s="37">
        <v>0.6875</v>
      </c>
      <c r="G51" s="38">
        <v>0</v>
      </c>
      <c r="H51" s="37">
        <v>0.48958333333333298</v>
      </c>
      <c r="I51" s="35">
        <f t="shared" si="3"/>
        <v>42758</v>
      </c>
      <c r="J51" s="36">
        <v>2017</v>
      </c>
      <c r="K51" s="36">
        <v>23</v>
      </c>
      <c r="L51" s="37">
        <v>0.17708333333333301</v>
      </c>
      <c r="M51" s="41">
        <v>3000</v>
      </c>
      <c r="N51" s="42">
        <v>126.9</v>
      </c>
      <c r="O51" s="76">
        <f>VLOOKUP($B51,'CIRS Table IDs'!$B:$P,14,FALSE)</f>
        <v>910</v>
      </c>
      <c r="P51" s="83"/>
      <c r="Q51" s="90"/>
    </row>
    <row r="52" spans="1:17" x14ac:dyDescent="0.2">
      <c r="A52" s="21">
        <v>164</v>
      </c>
      <c r="B52" s="45" t="s">
        <v>600</v>
      </c>
      <c r="C52" s="35">
        <f t="shared" si="2"/>
        <v>42759</v>
      </c>
      <c r="D52" s="36">
        <v>2017</v>
      </c>
      <c r="E52" s="36">
        <v>24</v>
      </c>
      <c r="F52" s="37">
        <v>0.75</v>
      </c>
      <c r="G52" s="38">
        <v>0</v>
      </c>
      <c r="H52" s="37">
        <v>0.34375</v>
      </c>
      <c r="I52" s="35">
        <f t="shared" si="3"/>
        <v>42760</v>
      </c>
      <c r="J52" s="36">
        <v>2017</v>
      </c>
      <c r="K52" s="36">
        <v>25</v>
      </c>
      <c r="L52" s="37">
        <v>9.375E-2</v>
      </c>
      <c r="M52" s="41">
        <v>3000</v>
      </c>
      <c r="N52" s="42">
        <v>89.1</v>
      </c>
      <c r="O52" s="76">
        <f>VLOOKUP($B52,'CIRS Table IDs'!$B:$P,14,FALSE)</f>
        <v>913</v>
      </c>
      <c r="P52" s="83"/>
      <c r="Q52" s="90"/>
    </row>
    <row r="53" spans="1:17" x14ac:dyDescent="0.2">
      <c r="A53" s="21">
        <v>165</v>
      </c>
      <c r="B53" s="45" t="s">
        <v>601</v>
      </c>
      <c r="C53" s="35">
        <f t="shared" si="2"/>
        <v>42760</v>
      </c>
      <c r="D53" s="36">
        <v>2017</v>
      </c>
      <c r="E53" s="36">
        <v>25</v>
      </c>
      <c r="F53" s="37">
        <v>0.51041666666666696</v>
      </c>
      <c r="G53" s="38">
        <v>0</v>
      </c>
      <c r="H53" s="37">
        <v>0.3125</v>
      </c>
      <c r="I53" s="35">
        <f t="shared" si="3"/>
        <v>42760</v>
      </c>
      <c r="J53" s="36">
        <v>2017</v>
      </c>
      <c r="K53" s="36">
        <v>25</v>
      </c>
      <c r="L53" s="37">
        <v>0.82291666666666696</v>
      </c>
      <c r="M53" s="41">
        <v>3000</v>
      </c>
      <c r="N53" s="42">
        <v>81</v>
      </c>
      <c r="O53" s="76">
        <f>VLOOKUP($B53,'CIRS Table IDs'!$B:$P,14,FALSE)</f>
        <v>914</v>
      </c>
      <c r="P53" s="83"/>
      <c r="Q53" s="90"/>
    </row>
    <row r="54" spans="1:17" x14ac:dyDescent="0.2">
      <c r="A54" s="21">
        <v>166</v>
      </c>
      <c r="B54" s="45" t="s">
        <v>602</v>
      </c>
      <c r="C54" s="35">
        <f t="shared" si="2"/>
        <v>42761</v>
      </c>
      <c r="D54" s="36">
        <v>2017</v>
      </c>
      <c r="E54" s="36">
        <v>26</v>
      </c>
      <c r="F54" s="37">
        <v>0.76111111111111096</v>
      </c>
      <c r="G54" s="38">
        <v>0</v>
      </c>
      <c r="H54" s="37">
        <v>0.33333333333333298</v>
      </c>
      <c r="I54" s="35">
        <f t="shared" si="3"/>
        <v>42762</v>
      </c>
      <c r="J54" s="36">
        <v>2017</v>
      </c>
      <c r="K54" s="36">
        <v>27</v>
      </c>
      <c r="L54" s="37">
        <v>9.44444444444444E-2</v>
      </c>
      <c r="M54" s="41">
        <v>3000</v>
      </c>
      <c r="N54" s="42">
        <v>86.4</v>
      </c>
      <c r="O54" s="76">
        <f>VLOOKUP($B54,'CIRS Table IDs'!$B:$P,14,FALSE)</f>
        <v>915</v>
      </c>
      <c r="P54" s="83"/>
      <c r="Q54" s="90"/>
    </row>
    <row r="55" spans="1:17" x14ac:dyDescent="0.2">
      <c r="A55" s="21">
        <v>167</v>
      </c>
      <c r="B55" s="45" t="s">
        <v>603</v>
      </c>
      <c r="C55" s="35">
        <f t="shared" si="2"/>
        <v>42762</v>
      </c>
      <c r="D55" s="36">
        <v>2017</v>
      </c>
      <c r="E55" s="36">
        <v>27</v>
      </c>
      <c r="F55" s="37">
        <v>0.75555555555555598</v>
      </c>
      <c r="G55" s="38">
        <v>0</v>
      </c>
      <c r="H55" s="37">
        <v>0.33333333333333298</v>
      </c>
      <c r="I55" s="35">
        <f t="shared" si="3"/>
        <v>42763</v>
      </c>
      <c r="J55" s="36">
        <v>2017</v>
      </c>
      <c r="K55" s="36">
        <v>28</v>
      </c>
      <c r="L55" s="37">
        <v>8.8888888888888906E-2</v>
      </c>
      <c r="M55" s="41">
        <v>3000</v>
      </c>
      <c r="N55" s="42">
        <v>86.4</v>
      </c>
      <c r="O55" s="76">
        <f>VLOOKUP($B55,'CIRS Table IDs'!$B:$P,14,FALSE)</f>
        <v>916</v>
      </c>
      <c r="P55" s="83"/>
      <c r="Q55" s="90"/>
    </row>
    <row r="56" spans="1:17" x14ac:dyDescent="0.2">
      <c r="A56" s="21">
        <v>168</v>
      </c>
      <c r="B56" s="45" t="s">
        <v>604</v>
      </c>
      <c r="C56" s="35">
        <f t="shared" si="2"/>
        <v>42763</v>
      </c>
      <c r="D56" s="36">
        <v>2017</v>
      </c>
      <c r="E56" s="36">
        <v>28</v>
      </c>
      <c r="F56" s="37">
        <v>0.75555555555555598</v>
      </c>
      <c r="G56" s="38">
        <v>0</v>
      </c>
      <c r="H56" s="37">
        <v>0.33333333333333298</v>
      </c>
      <c r="I56" s="35">
        <f t="shared" si="3"/>
        <v>42764</v>
      </c>
      <c r="J56" s="36">
        <v>2017</v>
      </c>
      <c r="K56" s="36">
        <v>29</v>
      </c>
      <c r="L56" s="37">
        <v>8.8888888888888906E-2</v>
      </c>
      <c r="M56" s="41">
        <v>3000</v>
      </c>
      <c r="N56" s="42">
        <v>86.4</v>
      </c>
      <c r="O56" s="76">
        <f>VLOOKUP($B56,'CIRS Table IDs'!$B:$P,14,FALSE)</f>
        <v>917</v>
      </c>
      <c r="P56" s="83"/>
      <c r="Q56" s="90"/>
    </row>
    <row r="57" spans="1:17" x14ac:dyDescent="0.2">
      <c r="A57" s="21">
        <v>170</v>
      </c>
      <c r="B57" s="45" t="s">
        <v>606</v>
      </c>
      <c r="C57" s="35">
        <f t="shared" si="2"/>
        <v>42764</v>
      </c>
      <c r="D57" s="36">
        <v>2017</v>
      </c>
      <c r="E57" s="36">
        <v>29</v>
      </c>
      <c r="F57" s="37">
        <v>0.68333333333333302</v>
      </c>
      <c r="G57" s="38">
        <v>0</v>
      </c>
      <c r="H57" s="37">
        <v>0.468055555555556</v>
      </c>
      <c r="I57" s="35">
        <f t="shared" si="3"/>
        <v>42765</v>
      </c>
      <c r="J57" s="36">
        <v>2017</v>
      </c>
      <c r="K57" s="36">
        <v>30</v>
      </c>
      <c r="L57" s="37">
        <v>0.15138888888888899</v>
      </c>
      <c r="M57" s="41">
        <v>3000</v>
      </c>
      <c r="N57" s="42">
        <v>121.32</v>
      </c>
      <c r="O57" s="76">
        <f>VLOOKUP($B57,'CIRS Table IDs'!$B:$P,14,FALSE)</f>
        <v>919</v>
      </c>
      <c r="P57" s="83"/>
      <c r="Q57" s="90"/>
    </row>
    <row r="58" spans="1:17" x14ac:dyDescent="0.2">
      <c r="A58" s="21">
        <v>178</v>
      </c>
      <c r="B58" s="45" t="s">
        <v>616</v>
      </c>
      <c r="C58" s="35">
        <f t="shared" si="2"/>
        <v>42766</v>
      </c>
      <c r="D58" s="36">
        <v>2017</v>
      </c>
      <c r="E58" s="36">
        <v>31</v>
      </c>
      <c r="F58" s="37">
        <v>0.38611111111111102</v>
      </c>
      <c r="G58" s="38">
        <v>0</v>
      </c>
      <c r="H58" s="37">
        <v>8.3333333333333301E-2</v>
      </c>
      <c r="I58" s="35">
        <f t="shared" si="3"/>
        <v>42766</v>
      </c>
      <c r="J58" s="36">
        <v>2017</v>
      </c>
      <c r="K58" s="36">
        <v>31</v>
      </c>
      <c r="L58" s="37">
        <v>0.469444444444444</v>
      </c>
      <c r="M58" s="41">
        <v>3000</v>
      </c>
      <c r="N58" s="42">
        <v>21.6</v>
      </c>
      <c r="O58" s="76">
        <f>VLOOKUP($B58,'CIRS Table IDs'!$B:$P,14,FALSE)</f>
        <v>927</v>
      </c>
      <c r="P58" s="83"/>
      <c r="Q58" s="90"/>
    </row>
    <row r="59" spans="1:17" x14ac:dyDescent="0.2">
      <c r="A59" s="21">
        <v>180</v>
      </c>
      <c r="B59" s="45" t="s">
        <v>620</v>
      </c>
      <c r="C59" s="35">
        <f t="shared" si="2"/>
        <v>42767</v>
      </c>
      <c r="D59" s="36">
        <v>2017</v>
      </c>
      <c r="E59" s="36">
        <v>32</v>
      </c>
      <c r="F59" s="37">
        <v>0.19861111111111099</v>
      </c>
      <c r="G59" s="38">
        <v>0</v>
      </c>
      <c r="H59" s="37">
        <v>0.120138888888889</v>
      </c>
      <c r="I59" s="35">
        <f t="shared" si="3"/>
        <v>42767</v>
      </c>
      <c r="J59" s="36">
        <v>2017</v>
      </c>
      <c r="K59" s="36">
        <v>32</v>
      </c>
      <c r="L59" s="37">
        <v>0.31874999999999998</v>
      </c>
      <c r="M59" s="41">
        <v>3000</v>
      </c>
      <c r="N59" s="42">
        <v>31.14</v>
      </c>
      <c r="O59" s="76">
        <f>VLOOKUP($B59,'CIRS Table IDs'!$B:$P,14,FALSE)</f>
        <v>929</v>
      </c>
      <c r="P59" s="83"/>
      <c r="Q59" s="90"/>
    </row>
    <row r="60" spans="1:17" x14ac:dyDescent="0.2">
      <c r="A60" s="21">
        <v>191</v>
      </c>
      <c r="B60" s="45" t="s">
        <v>634</v>
      </c>
      <c r="C60" s="35">
        <f t="shared" si="2"/>
        <v>42768</v>
      </c>
      <c r="D60" s="36">
        <v>2017</v>
      </c>
      <c r="E60" s="36">
        <v>33</v>
      </c>
      <c r="F60" s="37">
        <v>0.750694444444444</v>
      </c>
      <c r="G60" s="105">
        <v>0</v>
      </c>
      <c r="H60" s="106">
        <v>0.40138888888888902</v>
      </c>
      <c r="I60" s="107">
        <f t="shared" si="3"/>
        <v>42769</v>
      </c>
      <c r="J60" s="108">
        <v>2017</v>
      </c>
      <c r="K60" s="108">
        <v>34</v>
      </c>
      <c r="L60" s="106">
        <v>0.15208333333333299</v>
      </c>
      <c r="M60" s="109">
        <v>3000</v>
      </c>
      <c r="N60" s="110">
        <v>104.04</v>
      </c>
      <c r="O60" s="76">
        <f>VLOOKUP($B60,'CIRS Table IDs'!$B:$P,14,FALSE)</f>
        <v>940</v>
      </c>
      <c r="P60" s="83"/>
      <c r="Q60" s="90"/>
    </row>
    <row r="61" spans="1:17" ht="15.75" thickBot="1" x14ac:dyDescent="0.25">
      <c r="A61" s="21">
        <v>192</v>
      </c>
      <c r="B61" s="45" t="s">
        <v>635</v>
      </c>
      <c r="C61" s="35">
        <f t="shared" si="2"/>
        <v>42769</v>
      </c>
      <c r="D61" s="36">
        <v>2017</v>
      </c>
      <c r="E61" s="36">
        <v>34</v>
      </c>
      <c r="F61" s="37">
        <v>0.19375000000000001</v>
      </c>
      <c r="G61" s="111">
        <v>0</v>
      </c>
      <c r="H61" s="112">
        <v>0.101388888888889</v>
      </c>
      <c r="I61" s="113">
        <f t="shared" si="3"/>
        <v>42769</v>
      </c>
      <c r="J61" s="114">
        <v>2017</v>
      </c>
      <c r="K61" s="114">
        <v>34</v>
      </c>
      <c r="L61" s="112">
        <v>0.29513888888888901</v>
      </c>
      <c r="M61" s="115">
        <v>3000</v>
      </c>
      <c r="N61" s="116">
        <v>26.28</v>
      </c>
      <c r="O61" s="76">
        <f>VLOOKUP($B61,'CIRS Table IDs'!$B:$P,14,FALSE)</f>
        <v>941</v>
      </c>
      <c r="P61" s="83"/>
      <c r="Q61" s="90"/>
    </row>
    <row r="62" spans="1:17" ht="15.75" thickBot="1" x14ac:dyDescent="0.25">
      <c r="B62" s="50" t="s">
        <v>362</v>
      </c>
      <c r="C62" s="51">
        <f t="shared" si="2"/>
        <v>42769</v>
      </c>
      <c r="D62" s="52">
        <v>2017</v>
      </c>
      <c r="E62" s="52">
        <v>34</v>
      </c>
      <c r="F62" s="53">
        <v>0.2951388888888889</v>
      </c>
      <c r="G62" s="117"/>
      <c r="H62" s="118"/>
      <c r="I62" s="119"/>
      <c r="J62" s="120"/>
      <c r="K62" s="120"/>
      <c r="L62" s="118"/>
      <c r="M62" s="121"/>
      <c r="N62" s="120"/>
      <c r="O62" s="122" t="str">
        <f>IF(MID(B62,6,7)="NO_DATA",50,IF(A62=""," ",$O$2+A62-1))</f>
        <v xml:space="preserve"> </v>
      </c>
      <c r="P62" s="70"/>
      <c r="Q62" s="90"/>
    </row>
    <row r="63" spans="1:17" x14ac:dyDescent="0.2">
      <c r="A63" s="83"/>
      <c r="B63" s="117"/>
      <c r="C63" s="117"/>
      <c r="D63" s="120"/>
      <c r="E63" s="120"/>
      <c r="F63" s="118"/>
      <c r="G63" s="70"/>
      <c r="H63" s="123"/>
      <c r="I63" s="123"/>
      <c r="J63" s="84"/>
      <c r="K63" s="84"/>
      <c r="L63" s="124"/>
      <c r="M63" s="84"/>
      <c r="N63" s="125"/>
      <c r="O63" s="70"/>
      <c r="P63" s="70"/>
      <c r="Q63" s="90"/>
    </row>
    <row r="64" spans="1:17" x14ac:dyDescent="0.2">
      <c r="A64" s="83">
        <f>COUNTA(A8:A62)</f>
        <v>53</v>
      </c>
      <c r="B64" s="70" t="s">
        <v>214</v>
      </c>
      <c r="C64" s="70"/>
      <c r="D64" s="70"/>
      <c r="E64" s="70"/>
      <c r="F64" s="124" t="s">
        <v>215</v>
      </c>
      <c r="G64" s="70">
        <v>1</v>
      </c>
      <c r="H64" s="126">
        <v>1</v>
      </c>
      <c r="I64" s="70" t="s">
        <v>216</v>
      </c>
      <c r="J64" s="70"/>
      <c r="K64" s="70"/>
      <c r="L64" s="124" t="s">
        <v>217</v>
      </c>
      <c r="M64" s="84">
        <f>SUM(N8:N61)</f>
        <v>3996.9500000000012</v>
      </c>
      <c r="N64" s="127" t="s">
        <v>218</v>
      </c>
      <c r="O64" s="84"/>
      <c r="P64" s="70">
        <f>SUM(P9:P61)</f>
        <v>0</v>
      </c>
      <c r="Q64" s="70">
        <f>SUM(Q9:Q61)</f>
        <v>0</v>
      </c>
    </row>
    <row r="65" spans="1:16" x14ac:dyDescent="0.2">
      <c r="A65" s="83"/>
      <c r="B65" s="70"/>
      <c r="C65" s="70"/>
      <c r="D65" s="70"/>
      <c r="E65" s="70"/>
      <c r="F65" s="124"/>
      <c r="G65" s="70"/>
      <c r="H65" s="126"/>
      <c r="I65" s="126"/>
      <c r="J65" s="70"/>
      <c r="K65" s="70"/>
      <c r="L65" s="124"/>
      <c r="M65" s="84"/>
      <c r="N65" s="127"/>
      <c r="O65" s="84"/>
      <c r="P65" s="70"/>
    </row>
    <row r="66" spans="1:16" x14ac:dyDescent="0.2">
      <c r="A66" s="83"/>
      <c r="B66" s="70"/>
      <c r="C66" s="70"/>
      <c r="D66" s="70"/>
      <c r="E66" s="70"/>
      <c r="F66" s="70"/>
      <c r="G66" s="70"/>
      <c r="H66" s="123"/>
      <c r="I66" s="123"/>
      <c r="J66" s="70"/>
      <c r="K66" s="70"/>
      <c r="L66" s="123"/>
      <c r="M66" s="70"/>
      <c r="N66" s="127"/>
      <c r="O66" s="84"/>
      <c r="P66" s="70"/>
    </row>
    <row r="67" spans="1:16" x14ac:dyDescent="0.2">
      <c r="A67" s="83"/>
      <c r="B67" s="70"/>
      <c r="C67" s="70"/>
      <c r="D67" s="70"/>
      <c r="E67" s="70" t="s">
        <v>33</v>
      </c>
      <c r="F67" s="128" t="s">
        <v>219</v>
      </c>
      <c r="G67" s="70"/>
      <c r="H67" s="123"/>
      <c r="I67" s="129"/>
      <c r="J67" s="123"/>
      <c r="K67" s="70"/>
      <c r="L67" s="123"/>
      <c r="M67" s="70"/>
      <c r="N67" s="127"/>
      <c r="O67" s="70"/>
      <c r="P67" s="70"/>
    </row>
    <row r="68" spans="1:16" x14ac:dyDescent="0.2">
      <c r="A68" s="83"/>
      <c r="B68" s="70"/>
      <c r="C68" s="70"/>
      <c r="D68" s="70"/>
      <c r="E68" s="70"/>
      <c r="F68" s="128"/>
      <c r="G68" s="70"/>
      <c r="H68" s="123"/>
      <c r="I68" s="123"/>
      <c r="J68" s="70"/>
      <c r="K68" s="70"/>
      <c r="L68" s="123"/>
      <c r="M68" s="70"/>
      <c r="N68" s="127"/>
      <c r="O68" s="70"/>
      <c r="P68" s="70"/>
    </row>
    <row r="69" spans="1:16" x14ac:dyDescent="0.2">
      <c r="A69" s="83"/>
      <c r="B69" s="70"/>
      <c r="C69" s="70"/>
      <c r="D69" s="70"/>
      <c r="E69" s="70"/>
      <c r="F69" s="123"/>
      <c r="G69" s="70"/>
      <c r="H69" s="123"/>
      <c r="I69" s="123"/>
      <c r="J69" s="70"/>
      <c r="K69" s="70"/>
      <c r="L69" s="123"/>
      <c r="M69" s="70"/>
      <c r="N69" s="127"/>
      <c r="O69" s="70"/>
      <c r="P69" s="70"/>
    </row>
    <row r="70" spans="1:16" x14ac:dyDescent="0.2">
      <c r="A70" s="83"/>
      <c r="B70" s="70"/>
      <c r="C70" s="70"/>
      <c r="D70" s="70"/>
      <c r="E70" s="70"/>
      <c r="F70" s="123">
        <f>+H9+H10+H11+H12+H13+H14+H15+H16+H17+H18+H19+H20+H21+H22+H23+H24+H25+H26+H27+H28+H29+H30+H31+H32+H33+H34+H35+H36+H37+H38+H39+H40+H41+H42+H43+H44+H45+H46+H47+H48+H49+H50+H51+H52+H53+H54+H55+H56+H57+H58+H59+H60+H61</f>
        <v>16.649999999999977</v>
      </c>
      <c r="G70" s="70"/>
      <c r="H70" s="123"/>
      <c r="I70" s="123">
        <f>+H9+H10+H11+H12+H13+H14+H15+H16+H17+H18+H19+H20+H21+H22+H23+H24+H25+H26+H27+H28+H29+H30+H31+H32+H33+H34+H35+H36+H37+H38+H39+H40+H41+H42+H43+H44+H45+H46+H47+H48+H49+H50+H51+H52+H53+H54+H55+H56+H57+H58+H59+H60+H61</f>
        <v>16.649999999999977</v>
      </c>
      <c r="J70" s="70"/>
      <c r="K70" s="70"/>
      <c r="L70" s="123"/>
      <c r="M70" s="70"/>
      <c r="N70" s="127"/>
      <c r="O70" s="70"/>
      <c r="P70" s="70"/>
    </row>
    <row r="71" spans="1:16" x14ac:dyDescent="0.2">
      <c r="A71" s="83"/>
      <c r="B71" s="84" t="s">
        <v>220</v>
      </c>
      <c r="C71" s="84"/>
      <c r="D71" s="70"/>
      <c r="E71" s="70">
        <f>DAY(F71)</f>
        <v>16</v>
      </c>
      <c r="F71" s="123">
        <f>'CIRS DSCAL Info'!D207</f>
        <v>16.650000000000013</v>
      </c>
      <c r="G71" s="70"/>
      <c r="H71" s="123"/>
      <c r="I71" s="126">
        <f>F71</f>
        <v>16.650000000000013</v>
      </c>
      <c r="J71" s="70"/>
      <c r="K71" s="70"/>
      <c r="L71" s="123"/>
      <c r="M71" s="70"/>
      <c r="N71" s="127"/>
      <c r="O71" s="70"/>
      <c r="P71" s="70"/>
    </row>
    <row r="72" spans="1:16" x14ac:dyDescent="0.2">
      <c r="A72" s="83"/>
      <c r="B72" s="84" t="s">
        <v>221</v>
      </c>
      <c r="C72" s="70"/>
      <c r="D72" s="70"/>
      <c r="E72" s="70"/>
      <c r="F72" s="123"/>
      <c r="G72" s="70"/>
      <c r="H72" s="123"/>
      <c r="I72" s="123"/>
      <c r="J72" s="70"/>
      <c r="K72" s="70"/>
      <c r="L72" s="123"/>
      <c r="M72" s="70"/>
      <c r="N72" s="127"/>
      <c r="O72" s="70"/>
      <c r="P72" s="70"/>
    </row>
    <row r="73" spans="1:16" x14ac:dyDescent="0.2">
      <c r="A73" s="83"/>
      <c r="B73" s="84"/>
      <c r="C73" s="70"/>
      <c r="D73" s="70"/>
      <c r="E73" s="70"/>
      <c r="F73" s="123"/>
      <c r="G73" s="70"/>
      <c r="H73" s="123"/>
      <c r="I73" s="123"/>
      <c r="J73" s="70"/>
      <c r="K73" s="70"/>
      <c r="L73" s="123"/>
      <c r="M73" s="70"/>
      <c r="N73" s="127"/>
      <c r="O73" s="70"/>
      <c r="P73" s="70"/>
    </row>
    <row r="74" spans="1:16" x14ac:dyDescent="0.2">
      <c r="A74" s="83"/>
      <c r="B74" s="84" t="s">
        <v>220</v>
      </c>
      <c r="C74" s="70"/>
      <c r="D74" s="70"/>
      <c r="E74" s="70">
        <f>DAY(F74)</f>
        <v>16</v>
      </c>
      <c r="F74" s="123">
        <f>F71</f>
        <v>16.650000000000013</v>
      </c>
      <c r="G74" s="70"/>
      <c r="H74" s="123"/>
      <c r="I74" s="126">
        <f>F74</f>
        <v>16.650000000000013</v>
      </c>
      <c r="J74" s="70"/>
      <c r="K74" s="70"/>
      <c r="L74" s="123"/>
      <c r="M74" s="70"/>
      <c r="N74" s="127"/>
      <c r="O74" s="70"/>
      <c r="P74" s="70"/>
    </row>
    <row r="75" spans="1:16" x14ac:dyDescent="0.2">
      <c r="A75" s="83"/>
      <c r="B75" s="84" t="s">
        <v>222</v>
      </c>
      <c r="C75" s="70"/>
      <c r="D75" s="70"/>
      <c r="E75" s="70"/>
      <c r="F75" s="123"/>
      <c r="G75" s="70"/>
      <c r="H75" s="123"/>
      <c r="I75" s="123"/>
      <c r="J75" s="70"/>
      <c r="K75" s="70"/>
      <c r="L75" s="123"/>
      <c r="M75" s="70"/>
      <c r="N75" s="127"/>
      <c r="O75" s="70"/>
      <c r="P75" s="70"/>
    </row>
    <row r="76" spans="1:16" x14ac:dyDescent="0.2">
      <c r="A76" s="83"/>
      <c r="B76" s="84"/>
      <c r="C76" s="70"/>
      <c r="D76" s="70"/>
      <c r="E76" s="70"/>
      <c r="F76" s="123"/>
      <c r="G76" s="70"/>
      <c r="H76" s="123"/>
      <c r="I76" s="123"/>
      <c r="J76" s="70"/>
      <c r="K76" s="70"/>
      <c r="L76" s="123"/>
      <c r="M76" s="70"/>
      <c r="N76" s="127"/>
      <c r="O76" s="70"/>
      <c r="P76" s="70"/>
    </row>
    <row r="77" spans="1:16" x14ac:dyDescent="0.2">
      <c r="A77" s="83"/>
      <c r="B77" s="84" t="s">
        <v>223</v>
      </c>
      <c r="C77" s="84"/>
      <c r="D77" s="70"/>
      <c r="E77" s="127">
        <f>M64</f>
        <v>3996.9500000000012</v>
      </c>
      <c r="F77" s="123"/>
      <c r="G77" s="70"/>
      <c r="H77" s="123"/>
      <c r="I77" s="70"/>
      <c r="J77" s="70"/>
      <c r="K77" s="70"/>
      <c r="L77" s="123"/>
      <c r="M77" s="70"/>
      <c r="N77" s="127"/>
      <c r="O77" s="70"/>
      <c r="P77" s="70"/>
    </row>
    <row r="79" spans="1:16" x14ac:dyDescent="0.2">
      <c r="G79" s="69"/>
      <c r="H79" s="49"/>
    </row>
    <row r="80" spans="1:16" x14ac:dyDescent="0.2">
      <c r="C80" s="64"/>
      <c r="D80" s="64"/>
      <c r="E80" s="64"/>
      <c r="F80" s="64"/>
      <c r="G80" s="63"/>
      <c r="H80" s="61"/>
      <c r="I80" s="64"/>
      <c r="J80" s="64"/>
      <c r="K80" s="64"/>
      <c r="L80" s="64"/>
    </row>
    <row r="81" spans="3:12" x14ac:dyDescent="0.2">
      <c r="C81" s="64"/>
      <c r="D81" s="64"/>
      <c r="E81" s="64"/>
      <c r="F81" s="64"/>
      <c r="G81" s="63"/>
      <c r="H81" s="61"/>
      <c r="I81" s="64"/>
      <c r="J81" s="64"/>
      <c r="K81" s="64"/>
      <c r="L81" s="64"/>
    </row>
    <row r="82" spans="3:12" x14ac:dyDescent="0.2">
      <c r="C82" s="130"/>
      <c r="D82" s="131"/>
      <c r="E82" s="131"/>
      <c r="F82" s="132"/>
      <c r="G82" s="63"/>
      <c r="H82" s="61"/>
      <c r="I82" s="133"/>
      <c r="J82" s="131"/>
      <c r="K82" s="131"/>
      <c r="L82" s="132"/>
    </row>
    <row r="83" spans="3:12" x14ac:dyDescent="0.2">
      <c r="C83" s="134"/>
      <c r="D83" s="135"/>
      <c r="E83" s="135"/>
      <c r="F83" s="136"/>
      <c r="G83" s="63"/>
      <c r="H83" s="61"/>
      <c r="I83" s="137"/>
      <c r="J83" s="138"/>
      <c r="K83" s="138"/>
      <c r="L83" s="132"/>
    </row>
    <row r="84" spans="3:12" x14ac:dyDescent="0.2">
      <c r="C84" s="130"/>
      <c r="D84" s="131"/>
      <c r="E84" s="131"/>
      <c r="F84" s="132"/>
      <c r="G84" s="63"/>
      <c r="H84" s="61"/>
      <c r="I84" s="133"/>
      <c r="J84" s="131"/>
      <c r="K84" s="131"/>
      <c r="L84" s="132"/>
    </row>
    <row r="85" spans="3:12" x14ac:dyDescent="0.2">
      <c r="C85" s="64"/>
      <c r="D85" s="64"/>
      <c r="E85" s="64"/>
      <c r="F85" s="64"/>
      <c r="G85" s="63"/>
      <c r="H85" s="61"/>
      <c r="I85" s="64"/>
      <c r="J85" s="64"/>
      <c r="K85" s="64"/>
      <c r="L85" s="64"/>
    </row>
    <row r="86" spans="3:12" x14ac:dyDescent="0.2">
      <c r="C86" s="64"/>
      <c r="D86" s="64"/>
      <c r="E86" s="64"/>
      <c r="F86" s="64"/>
      <c r="G86" s="63"/>
      <c r="H86" s="61"/>
      <c r="I86" s="64"/>
      <c r="J86" s="64"/>
      <c r="K86" s="64"/>
      <c r="L86" s="64"/>
    </row>
    <row r="88" spans="3:12" x14ac:dyDescent="0.2">
      <c r="G88" s="63"/>
      <c r="H88" s="49"/>
    </row>
  </sheetData>
  <mergeCells count="10">
    <mergeCell ref="P5:P6"/>
    <mergeCell ref="Q5:Q6"/>
    <mergeCell ref="R5:R6"/>
    <mergeCell ref="O5:O6"/>
    <mergeCell ref="B5:B6"/>
    <mergeCell ref="C5:F5"/>
    <mergeCell ref="G5:H5"/>
    <mergeCell ref="I5:L5"/>
    <mergeCell ref="M5:M6"/>
    <mergeCell ref="N5:N6"/>
  </mergeCells>
  <conditionalFormatting sqref="H9 G1 G9:G61">
    <cfRule type="cellIs" dxfId="196" priority="2" stopIfTrue="1" operator="lessThan">
      <formula>0</formula>
    </cfRule>
  </conditionalFormatting>
  <conditionalFormatting sqref="O9:O61">
    <cfRule type="cellIs" dxfId="195" priority="1" operator="lessThan">
      <formula>600</formula>
    </cfRule>
  </conditionalFormatting>
  <printOptions gridLines="1" gridLinesSet="0"/>
  <pageMargins left="0.75" right="0.75" top="1" bottom="1" header="0.51181102300000003" footer="0.51181102300000003"/>
  <pageSetup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7" width="7.625" style="568" bestFit="1" customWidth="1"/>
    <col min="8" max="8" width="2.25" style="568" bestFit="1" customWidth="1"/>
    <col min="9" max="9" width="4.375" style="568" bestFit="1" customWidth="1"/>
    <col min="10" max="10" width="8.375" style="568" bestFit="1" customWidth="1"/>
    <col min="11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3" width="7.625" style="568" bestFit="1" customWidth="1"/>
    <col min="264" max="264" width="2.25" style="568" bestFit="1" customWidth="1"/>
    <col min="265" max="265" width="4.375" style="568" bestFit="1" customWidth="1"/>
    <col min="266" max="266" width="8.375" style="568" bestFit="1" customWidth="1"/>
    <col min="267" max="269" width="8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19" width="7.625" style="568" bestFit="1" customWidth="1"/>
    <col min="520" max="520" width="2.25" style="568" bestFit="1" customWidth="1"/>
    <col min="521" max="521" width="4.375" style="568" bestFit="1" customWidth="1"/>
    <col min="522" max="522" width="8.375" style="568" bestFit="1" customWidth="1"/>
    <col min="523" max="525" width="8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5" width="7.625" style="568" bestFit="1" customWidth="1"/>
    <col min="776" max="776" width="2.25" style="568" bestFit="1" customWidth="1"/>
    <col min="777" max="777" width="4.375" style="568" bestFit="1" customWidth="1"/>
    <col min="778" max="778" width="8.375" style="568" bestFit="1" customWidth="1"/>
    <col min="779" max="781" width="8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1" width="7.625" style="568" bestFit="1" customWidth="1"/>
    <col min="1032" max="1032" width="2.25" style="568" bestFit="1" customWidth="1"/>
    <col min="1033" max="1033" width="4.375" style="568" bestFit="1" customWidth="1"/>
    <col min="1034" max="1034" width="8.375" style="568" bestFit="1" customWidth="1"/>
    <col min="1035" max="1037" width="8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7" width="7.625" style="568" bestFit="1" customWidth="1"/>
    <col min="1288" max="1288" width="2.25" style="568" bestFit="1" customWidth="1"/>
    <col min="1289" max="1289" width="4.375" style="568" bestFit="1" customWidth="1"/>
    <col min="1290" max="1290" width="8.375" style="568" bestFit="1" customWidth="1"/>
    <col min="1291" max="1293" width="8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3" width="7.625" style="568" bestFit="1" customWidth="1"/>
    <col min="1544" max="1544" width="2.25" style="568" bestFit="1" customWidth="1"/>
    <col min="1545" max="1545" width="4.375" style="568" bestFit="1" customWidth="1"/>
    <col min="1546" max="1546" width="8.375" style="568" bestFit="1" customWidth="1"/>
    <col min="1547" max="1549" width="8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799" width="7.625" style="568" bestFit="1" customWidth="1"/>
    <col min="1800" max="1800" width="2.25" style="568" bestFit="1" customWidth="1"/>
    <col min="1801" max="1801" width="4.375" style="568" bestFit="1" customWidth="1"/>
    <col min="1802" max="1802" width="8.375" style="568" bestFit="1" customWidth="1"/>
    <col min="1803" max="1805" width="8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5" width="7.625" style="568" bestFit="1" customWidth="1"/>
    <col min="2056" max="2056" width="2.25" style="568" bestFit="1" customWidth="1"/>
    <col min="2057" max="2057" width="4.375" style="568" bestFit="1" customWidth="1"/>
    <col min="2058" max="2058" width="8.375" style="568" bestFit="1" customWidth="1"/>
    <col min="2059" max="2061" width="8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1" width="7.625" style="568" bestFit="1" customWidth="1"/>
    <col min="2312" max="2312" width="2.25" style="568" bestFit="1" customWidth="1"/>
    <col min="2313" max="2313" width="4.375" style="568" bestFit="1" customWidth="1"/>
    <col min="2314" max="2314" width="8.375" style="568" bestFit="1" customWidth="1"/>
    <col min="2315" max="2317" width="8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7" width="7.625" style="568" bestFit="1" customWidth="1"/>
    <col min="2568" max="2568" width="2.25" style="568" bestFit="1" customWidth="1"/>
    <col min="2569" max="2569" width="4.375" style="568" bestFit="1" customWidth="1"/>
    <col min="2570" max="2570" width="8.375" style="568" bestFit="1" customWidth="1"/>
    <col min="2571" max="2573" width="8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3" width="7.625" style="568" bestFit="1" customWidth="1"/>
    <col min="2824" max="2824" width="2.25" style="568" bestFit="1" customWidth="1"/>
    <col min="2825" max="2825" width="4.375" style="568" bestFit="1" customWidth="1"/>
    <col min="2826" max="2826" width="8.375" style="568" bestFit="1" customWidth="1"/>
    <col min="2827" max="2829" width="8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79" width="7.625" style="568" bestFit="1" customWidth="1"/>
    <col min="3080" max="3080" width="2.25" style="568" bestFit="1" customWidth="1"/>
    <col min="3081" max="3081" width="4.375" style="568" bestFit="1" customWidth="1"/>
    <col min="3082" max="3082" width="8.375" style="568" bestFit="1" customWidth="1"/>
    <col min="3083" max="3085" width="8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5" width="7.625" style="568" bestFit="1" customWidth="1"/>
    <col min="3336" max="3336" width="2.25" style="568" bestFit="1" customWidth="1"/>
    <col min="3337" max="3337" width="4.375" style="568" bestFit="1" customWidth="1"/>
    <col min="3338" max="3338" width="8.375" style="568" bestFit="1" customWidth="1"/>
    <col min="3339" max="3341" width="8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1" width="7.625" style="568" bestFit="1" customWidth="1"/>
    <col min="3592" max="3592" width="2.25" style="568" bestFit="1" customWidth="1"/>
    <col min="3593" max="3593" width="4.375" style="568" bestFit="1" customWidth="1"/>
    <col min="3594" max="3594" width="8.375" style="568" bestFit="1" customWidth="1"/>
    <col min="3595" max="3597" width="8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7" width="7.625" style="568" bestFit="1" customWidth="1"/>
    <col min="3848" max="3848" width="2.25" style="568" bestFit="1" customWidth="1"/>
    <col min="3849" max="3849" width="4.375" style="568" bestFit="1" customWidth="1"/>
    <col min="3850" max="3850" width="8.375" style="568" bestFit="1" customWidth="1"/>
    <col min="3851" max="3853" width="8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3" width="7.625" style="568" bestFit="1" customWidth="1"/>
    <col min="4104" max="4104" width="2.25" style="568" bestFit="1" customWidth="1"/>
    <col min="4105" max="4105" width="4.375" style="568" bestFit="1" customWidth="1"/>
    <col min="4106" max="4106" width="8.375" style="568" bestFit="1" customWidth="1"/>
    <col min="4107" max="4109" width="8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59" width="7.625" style="568" bestFit="1" customWidth="1"/>
    <col min="4360" max="4360" width="2.25" style="568" bestFit="1" customWidth="1"/>
    <col min="4361" max="4361" width="4.375" style="568" bestFit="1" customWidth="1"/>
    <col min="4362" max="4362" width="8.375" style="568" bestFit="1" customWidth="1"/>
    <col min="4363" max="4365" width="8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5" width="7.625" style="568" bestFit="1" customWidth="1"/>
    <col min="4616" max="4616" width="2.25" style="568" bestFit="1" customWidth="1"/>
    <col min="4617" max="4617" width="4.375" style="568" bestFit="1" customWidth="1"/>
    <col min="4618" max="4618" width="8.375" style="568" bestFit="1" customWidth="1"/>
    <col min="4619" max="4621" width="8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1" width="7.625" style="568" bestFit="1" customWidth="1"/>
    <col min="4872" max="4872" width="2.25" style="568" bestFit="1" customWidth="1"/>
    <col min="4873" max="4873" width="4.375" style="568" bestFit="1" customWidth="1"/>
    <col min="4874" max="4874" width="8.375" style="568" bestFit="1" customWidth="1"/>
    <col min="4875" max="4877" width="8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7" width="7.625" style="568" bestFit="1" customWidth="1"/>
    <col min="5128" max="5128" width="2.25" style="568" bestFit="1" customWidth="1"/>
    <col min="5129" max="5129" width="4.375" style="568" bestFit="1" customWidth="1"/>
    <col min="5130" max="5130" width="8.375" style="568" bestFit="1" customWidth="1"/>
    <col min="5131" max="5133" width="8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3" width="7.625" style="568" bestFit="1" customWidth="1"/>
    <col min="5384" max="5384" width="2.25" style="568" bestFit="1" customWidth="1"/>
    <col min="5385" max="5385" width="4.375" style="568" bestFit="1" customWidth="1"/>
    <col min="5386" max="5386" width="8.375" style="568" bestFit="1" customWidth="1"/>
    <col min="5387" max="5389" width="8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39" width="7.625" style="568" bestFit="1" customWidth="1"/>
    <col min="5640" max="5640" width="2.25" style="568" bestFit="1" customWidth="1"/>
    <col min="5641" max="5641" width="4.375" style="568" bestFit="1" customWidth="1"/>
    <col min="5642" max="5642" width="8.375" style="568" bestFit="1" customWidth="1"/>
    <col min="5643" max="5645" width="8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5" width="7.625" style="568" bestFit="1" customWidth="1"/>
    <col min="5896" max="5896" width="2.25" style="568" bestFit="1" customWidth="1"/>
    <col min="5897" max="5897" width="4.375" style="568" bestFit="1" customWidth="1"/>
    <col min="5898" max="5898" width="8.375" style="568" bestFit="1" customWidth="1"/>
    <col min="5899" max="5901" width="8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1" width="7.625" style="568" bestFit="1" customWidth="1"/>
    <col min="6152" max="6152" width="2.25" style="568" bestFit="1" customWidth="1"/>
    <col min="6153" max="6153" width="4.375" style="568" bestFit="1" customWidth="1"/>
    <col min="6154" max="6154" width="8.375" style="568" bestFit="1" customWidth="1"/>
    <col min="6155" max="6157" width="8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7" width="7.625" style="568" bestFit="1" customWidth="1"/>
    <col min="6408" max="6408" width="2.25" style="568" bestFit="1" customWidth="1"/>
    <col min="6409" max="6409" width="4.375" style="568" bestFit="1" customWidth="1"/>
    <col min="6410" max="6410" width="8.375" style="568" bestFit="1" customWidth="1"/>
    <col min="6411" max="6413" width="8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3" width="7.625" style="568" bestFit="1" customWidth="1"/>
    <col min="6664" max="6664" width="2.25" style="568" bestFit="1" customWidth="1"/>
    <col min="6665" max="6665" width="4.375" style="568" bestFit="1" customWidth="1"/>
    <col min="6666" max="6666" width="8.375" style="568" bestFit="1" customWidth="1"/>
    <col min="6667" max="6669" width="8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19" width="7.625" style="568" bestFit="1" customWidth="1"/>
    <col min="6920" max="6920" width="2.25" style="568" bestFit="1" customWidth="1"/>
    <col min="6921" max="6921" width="4.375" style="568" bestFit="1" customWidth="1"/>
    <col min="6922" max="6922" width="8.375" style="568" bestFit="1" customWidth="1"/>
    <col min="6923" max="6925" width="8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5" width="7.625" style="568" bestFit="1" customWidth="1"/>
    <col min="7176" max="7176" width="2.25" style="568" bestFit="1" customWidth="1"/>
    <col min="7177" max="7177" width="4.375" style="568" bestFit="1" customWidth="1"/>
    <col min="7178" max="7178" width="8.375" style="568" bestFit="1" customWidth="1"/>
    <col min="7179" max="7181" width="8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1" width="7.625" style="568" bestFit="1" customWidth="1"/>
    <col min="7432" max="7432" width="2.25" style="568" bestFit="1" customWidth="1"/>
    <col min="7433" max="7433" width="4.375" style="568" bestFit="1" customWidth="1"/>
    <col min="7434" max="7434" width="8.375" style="568" bestFit="1" customWidth="1"/>
    <col min="7435" max="7437" width="8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7" width="7.625" style="568" bestFit="1" customWidth="1"/>
    <col min="7688" max="7688" width="2.25" style="568" bestFit="1" customWidth="1"/>
    <col min="7689" max="7689" width="4.375" style="568" bestFit="1" customWidth="1"/>
    <col min="7690" max="7690" width="8.375" style="568" bestFit="1" customWidth="1"/>
    <col min="7691" max="7693" width="8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3" width="7.625" style="568" bestFit="1" customWidth="1"/>
    <col min="7944" max="7944" width="2.25" style="568" bestFit="1" customWidth="1"/>
    <col min="7945" max="7945" width="4.375" style="568" bestFit="1" customWidth="1"/>
    <col min="7946" max="7946" width="8.375" style="568" bestFit="1" customWidth="1"/>
    <col min="7947" max="7949" width="8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199" width="7.625" style="568" bestFit="1" customWidth="1"/>
    <col min="8200" max="8200" width="2.25" style="568" bestFit="1" customWidth="1"/>
    <col min="8201" max="8201" width="4.375" style="568" bestFit="1" customWidth="1"/>
    <col min="8202" max="8202" width="8.375" style="568" bestFit="1" customWidth="1"/>
    <col min="8203" max="8205" width="8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5" width="7.625" style="568" bestFit="1" customWidth="1"/>
    <col min="8456" max="8456" width="2.25" style="568" bestFit="1" customWidth="1"/>
    <col min="8457" max="8457" width="4.375" style="568" bestFit="1" customWidth="1"/>
    <col min="8458" max="8458" width="8.375" style="568" bestFit="1" customWidth="1"/>
    <col min="8459" max="8461" width="8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1" width="7.625" style="568" bestFit="1" customWidth="1"/>
    <col min="8712" max="8712" width="2.25" style="568" bestFit="1" customWidth="1"/>
    <col min="8713" max="8713" width="4.375" style="568" bestFit="1" customWidth="1"/>
    <col min="8714" max="8714" width="8.375" style="568" bestFit="1" customWidth="1"/>
    <col min="8715" max="8717" width="8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7" width="7.625" style="568" bestFit="1" customWidth="1"/>
    <col min="8968" max="8968" width="2.25" style="568" bestFit="1" customWidth="1"/>
    <col min="8969" max="8969" width="4.375" style="568" bestFit="1" customWidth="1"/>
    <col min="8970" max="8970" width="8.375" style="568" bestFit="1" customWidth="1"/>
    <col min="8971" max="8973" width="8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3" width="7.625" style="568" bestFit="1" customWidth="1"/>
    <col min="9224" max="9224" width="2.25" style="568" bestFit="1" customWidth="1"/>
    <col min="9225" max="9225" width="4.375" style="568" bestFit="1" customWidth="1"/>
    <col min="9226" max="9226" width="8.375" style="568" bestFit="1" customWidth="1"/>
    <col min="9227" max="9229" width="8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79" width="7.625" style="568" bestFit="1" customWidth="1"/>
    <col min="9480" max="9480" width="2.25" style="568" bestFit="1" customWidth="1"/>
    <col min="9481" max="9481" width="4.375" style="568" bestFit="1" customWidth="1"/>
    <col min="9482" max="9482" width="8.375" style="568" bestFit="1" customWidth="1"/>
    <col min="9483" max="9485" width="8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5" width="7.625" style="568" bestFit="1" customWidth="1"/>
    <col min="9736" max="9736" width="2.25" style="568" bestFit="1" customWidth="1"/>
    <col min="9737" max="9737" width="4.375" style="568" bestFit="1" customWidth="1"/>
    <col min="9738" max="9738" width="8.375" style="568" bestFit="1" customWidth="1"/>
    <col min="9739" max="9741" width="8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1" width="7.625" style="568" bestFit="1" customWidth="1"/>
    <col min="9992" max="9992" width="2.25" style="568" bestFit="1" customWidth="1"/>
    <col min="9993" max="9993" width="4.375" style="568" bestFit="1" customWidth="1"/>
    <col min="9994" max="9994" width="8.375" style="568" bestFit="1" customWidth="1"/>
    <col min="9995" max="9997" width="8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7" width="7.625" style="568" bestFit="1" customWidth="1"/>
    <col min="10248" max="10248" width="2.25" style="568" bestFit="1" customWidth="1"/>
    <col min="10249" max="10249" width="4.375" style="568" bestFit="1" customWidth="1"/>
    <col min="10250" max="10250" width="8.375" style="568" bestFit="1" customWidth="1"/>
    <col min="10251" max="10253" width="8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3" width="7.625" style="568" bestFit="1" customWidth="1"/>
    <col min="10504" max="10504" width="2.25" style="568" bestFit="1" customWidth="1"/>
    <col min="10505" max="10505" width="4.375" style="568" bestFit="1" customWidth="1"/>
    <col min="10506" max="10506" width="8.375" style="568" bestFit="1" customWidth="1"/>
    <col min="10507" max="10509" width="8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59" width="7.625" style="568" bestFit="1" customWidth="1"/>
    <col min="10760" max="10760" width="2.25" style="568" bestFit="1" customWidth="1"/>
    <col min="10761" max="10761" width="4.375" style="568" bestFit="1" customWidth="1"/>
    <col min="10762" max="10762" width="8.375" style="568" bestFit="1" customWidth="1"/>
    <col min="10763" max="10765" width="8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5" width="7.625" style="568" bestFit="1" customWidth="1"/>
    <col min="11016" max="11016" width="2.25" style="568" bestFit="1" customWidth="1"/>
    <col min="11017" max="11017" width="4.375" style="568" bestFit="1" customWidth="1"/>
    <col min="11018" max="11018" width="8.375" style="568" bestFit="1" customWidth="1"/>
    <col min="11019" max="11021" width="8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1" width="7.625" style="568" bestFit="1" customWidth="1"/>
    <col min="11272" max="11272" width="2.25" style="568" bestFit="1" customWidth="1"/>
    <col min="11273" max="11273" width="4.375" style="568" bestFit="1" customWidth="1"/>
    <col min="11274" max="11274" width="8.375" style="568" bestFit="1" customWidth="1"/>
    <col min="11275" max="11277" width="8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7" width="7.625" style="568" bestFit="1" customWidth="1"/>
    <col min="11528" max="11528" width="2.25" style="568" bestFit="1" customWidth="1"/>
    <col min="11529" max="11529" width="4.375" style="568" bestFit="1" customWidth="1"/>
    <col min="11530" max="11530" width="8.375" style="568" bestFit="1" customWidth="1"/>
    <col min="11531" max="11533" width="8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3" width="7.625" style="568" bestFit="1" customWidth="1"/>
    <col min="11784" max="11784" width="2.25" style="568" bestFit="1" customWidth="1"/>
    <col min="11785" max="11785" width="4.375" style="568" bestFit="1" customWidth="1"/>
    <col min="11786" max="11786" width="8.375" style="568" bestFit="1" customWidth="1"/>
    <col min="11787" max="11789" width="8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39" width="7.625" style="568" bestFit="1" customWidth="1"/>
    <col min="12040" max="12040" width="2.25" style="568" bestFit="1" customWidth="1"/>
    <col min="12041" max="12041" width="4.375" style="568" bestFit="1" customWidth="1"/>
    <col min="12042" max="12042" width="8.375" style="568" bestFit="1" customWidth="1"/>
    <col min="12043" max="12045" width="8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5" width="7.625" style="568" bestFit="1" customWidth="1"/>
    <col min="12296" max="12296" width="2.25" style="568" bestFit="1" customWidth="1"/>
    <col min="12297" max="12297" width="4.375" style="568" bestFit="1" customWidth="1"/>
    <col min="12298" max="12298" width="8.375" style="568" bestFit="1" customWidth="1"/>
    <col min="12299" max="12301" width="8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1" width="7.625" style="568" bestFit="1" customWidth="1"/>
    <col min="12552" max="12552" width="2.25" style="568" bestFit="1" customWidth="1"/>
    <col min="12553" max="12553" width="4.375" style="568" bestFit="1" customWidth="1"/>
    <col min="12554" max="12554" width="8.375" style="568" bestFit="1" customWidth="1"/>
    <col min="12555" max="12557" width="8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7" width="7.625" style="568" bestFit="1" customWidth="1"/>
    <col min="12808" max="12808" width="2.25" style="568" bestFit="1" customWidth="1"/>
    <col min="12809" max="12809" width="4.375" style="568" bestFit="1" customWidth="1"/>
    <col min="12810" max="12810" width="8.375" style="568" bestFit="1" customWidth="1"/>
    <col min="12811" max="12813" width="8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3" width="7.625" style="568" bestFit="1" customWidth="1"/>
    <col min="13064" max="13064" width="2.25" style="568" bestFit="1" customWidth="1"/>
    <col min="13065" max="13065" width="4.375" style="568" bestFit="1" customWidth="1"/>
    <col min="13066" max="13066" width="8.375" style="568" bestFit="1" customWidth="1"/>
    <col min="13067" max="13069" width="8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19" width="7.625" style="568" bestFit="1" customWidth="1"/>
    <col min="13320" max="13320" width="2.25" style="568" bestFit="1" customWidth="1"/>
    <col min="13321" max="13321" width="4.375" style="568" bestFit="1" customWidth="1"/>
    <col min="13322" max="13322" width="8.375" style="568" bestFit="1" customWidth="1"/>
    <col min="13323" max="13325" width="8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5" width="7.625" style="568" bestFit="1" customWidth="1"/>
    <col min="13576" max="13576" width="2.25" style="568" bestFit="1" customWidth="1"/>
    <col min="13577" max="13577" width="4.375" style="568" bestFit="1" customWidth="1"/>
    <col min="13578" max="13578" width="8.375" style="568" bestFit="1" customWidth="1"/>
    <col min="13579" max="13581" width="8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1" width="7.625" style="568" bestFit="1" customWidth="1"/>
    <col min="13832" max="13832" width="2.25" style="568" bestFit="1" customWidth="1"/>
    <col min="13833" max="13833" width="4.375" style="568" bestFit="1" customWidth="1"/>
    <col min="13834" max="13834" width="8.375" style="568" bestFit="1" customWidth="1"/>
    <col min="13835" max="13837" width="8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7" width="7.625" style="568" bestFit="1" customWidth="1"/>
    <col min="14088" max="14088" width="2.25" style="568" bestFit="1" customWidth="1"/>
    <col min="14089" max="14089" width="4.375" style="568" bestFit="1" customWidth="1"/>
    <col min="14090" max="14090" width="8.375" style="568" bestFit="1" customWidth="1"/>
    <col min="14091" max="14093" width="8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3" width="7.625" style="568" bestFit="1" customWidth="1"/>
    <col min="14344" max="14344" width="2.25" style="568" bestFit="1" customWidth="1"/>
    <col min="14345" max="14345" width="4.375" style="568" bestFit="1" customWidth="1"/>
    <col min="14346" max="14346" width="8.375" style="568" bestFit="1" customWidth="1"/>
    <col min="14347" max="14349" width="8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599" width="7.625" style="568" bestFit="1" customWidth="1"/>
    <col min="14600" max="14600" width="2.25" style="568" bestFit="1" customWidth="1"/>
    <col min="14601" max="14601" width="4.375" style="568" bestFit="1" customWidth="1"/>
    <col min="14602" max="14602" width="8.375" style="568" bestFit="1" customWidth="1"/>
    <col min="14603" max="14605" width="8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5" width="7.625" style="568" bestFit="1" customWidth="1"/>
    <col min="14856" max="14856" width="2.25" style="568" bestFit="1" customWidth="1"/>
    <col min="14857" max="14857" width="4.375" style="568" bestFit="1" customWidth="1"/>
    <col min="14858" max="14858" width="8.375" style="568" bestFit="1" customWidth="1"/>
    <col min="14859" max="14861" width="8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1" width="7.625" style="568" bestFit="1" customWidth="1"/>
    <col min="15112" max="15112" width="2.25" style="568" bestFit="1" customWidth="1"/>
    <col min="15113" max="15113" width="4.375" style="568" bestFit="1" customWidth="1"/>
    <col min="15114" max="15114" width="8.375" style="568" bestFit="1" customWidth="1"/>
    <col min="15115" max="15117" width="8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7" width="7.625" style="568" bestFit="1" customWidth="1"/>
    <col min="15368" max="15368" width="2.25" style="568" bestFit="1" customWidth="1"/>
    <col min="15369" max="15369" width="4.375" style="568" bestFit="1" customWidth="1"/>
    <col min="15370" max="15370" width="8.375" style="568" bestFit="1" customWidth="1"/>
    <col min="15371" max="15373" width="8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3" width="7.625" style="568" bestFit="1" customWidth="1"/>
    <col min="15624" max="15624" width="2.25" style="568" bestFit="1" customWidth="1"/>
    <col min="15625" max="15625" width="4.375" style="568" bestFit="1" customWidth="1"/>
    <col min="15626" max="15626" width="8.375" style="568" bestFit="1" customWidth="1"/>
    <col min="15627" max="15629" width="8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79" width="7.625" style="568" bestFit="1" customWidth="1"/>
    <col min="15880" max="15880" width="2.25" style="568" bestFit="1" customWidth="1"/>
    <col min="15881" max="15881" width="4.375" style="568" bestFit="1" customWidth="1"/>
    <col min="15882" max="15882" width="8.375" style="568" bestFit="1" customWidth="1"/>
    <col min="15883" max="15885" width="8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5" width="7.625" style="568" bestFit="1" customWidth="1"/>
    <col min="16136" max="16136" width="2.25" style="568" bestFit="1" customWidth="1"/>
    <col min="16137" max="16137" width="4.375" style="568" bestFit="1" customWidth="1"/>
    <col min="16138" max="16138" width="8.375" style="568" bestFit="1" customWidth="1"/>
    <col min="16139" max="16141" width="8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830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39</v>
      </c>
      <c r="J9" s="567" t="s">
        <v>327</v>
      </c>
      <c r="K9" s="567" t="s">
        <v>1002</v>
      </c>
      <c r="L9" s="567" t="s">
        <v>1003</v>
      </c>
      <c r="M9" s="567" t="s">
        <v>1004</v>
      </c>
      <c r="N9" s="567" t="s">
        <v>1011</v>
      </c>
      <c r="O9" s="567" t="s">
        <v>1012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3.9166666666666662E-2</v>
      </c>
      <c r="E10" s="567">
        <v>27072</v>
      </c>
      <c r="F10" s="567" t="s">
        <v>1001</v>
      </c>
      <c r="G10" s="567" t="s">
        <v>326</v>
      </c>
      <c r="H10" s="567">
        <v>0</v>
      </c>
      <c r="I10" s="567">
        <v>39</v>
      </c>
      <c r="J10" s="567" t="s">
        <v>327</v>
      </c>
      <c r="K10" s="567" t="s">
        <v>1002</v>
      </c>
      <c r="L10" s="567" t="s">
        <v>1003</v>
      </c>
      <c r="M10" s="567" t="s">
        <v>1004</v>
      </c>
      <c r="N10" s="567" t="s">
        <v>1011</v>
      </c>
      <c r="O10" s="567" t="s">
        <v>1012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4.1666666666666664E-2</v>
      </c>
      <c r="E11" s="567">
        <v>1728</v>
      </c>
      <c r="F11" s="567" t="s">
        <v>1001</v>
      </c>
      <c r="G11" s="567" t="s">
        <v>326</v>
      </c>
      <c r="H11" s="567">
        <v>0</v>
      </c>
      <c r="I11" s="567">
        <v>97</v>
      </c>
      <c r="J11" s="567" t="s">
        <v>327</v>
      </c>
      <c r="K11" s="567" t="s">
        <v>1002</v>
      </c>
      <c r="L11" s="567" t="s">
        <v>1003</v>
      </c>
      <c r="M11" s="567" t="s">
        <v>1004</v>
      </c>
      <c r="N11" s="567" t="s">
        <v>1011</v>
      </c>
      <c r="O11" s="567" t="s">
        <v>1012</v>
      </c>
      <c r="P11" s="567" t="s">
        <v>1007</v>
      </c>
      <c r="Q11" s="567" t="s">
        <v>1008</v>
      </c>
      <c r="R11" s="567">
        <v>80</v>
      </c>
    </row>
    <row r="12" spans="1:18" ht="15" x14ac:dyDescent="0.2">
      <c r="A12" s="567"/>
      <c r="B12" s="567"/>
      <c r="C12" s="567"/>
      <c r="D12" s="569">
        <v>0.15263888888888888</v>
      </c>
      <c r="E12" s="567">
        <v>76704</v>
      </c>
      <c r="F12" s="567" t="s">
        <v>1001</v>
      </c>
      <c r="G12" s="567" t="s">
        <v>326</v>
      </c>
      <c r="H12" s="567">
        <v>0</v>
      </c>
      <c r="I12" s="567">
        <v>97</v>
      </c>
      <c r="J12" s="567" t="s">
        <v>327</v>
      </c>
      <c r="K12" s="567" t="s">
        <v>1002</v>
      </c>
      <c r="L12" s="567" t="s">
        <v>1003</v>
      </c>
      <c r="M12" s="567" t="s">
        <v>1004</v>
      </c>
      <c r="N12" s="567" t="s">
        <v>1011</v>
      </c>
      <c r="O12" s="567" t="s">
        <v>1012</v>
      </c>
      <c r="P12" s="567" t="s">
        <v>1009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0.15972222222222224</v>
      </c>
      <c r="E13" s="567">
        <v>4896</v>
      </c>
      <c r="F13" s="567" t="s">
        <v>1001</v>
      </c>
      <c r="G13" s="567" t="s">
        <v>326</v>
      </c>
      <c r="H13" s="567">
        <v>0</v>
      </c>
      <c r="I13" s="567">
        <v>401</v>
      </c>
      <c r="J13" s="567" t="s">
        <v>327</v>
      </c>
      <c r="K13" s="567" t="s">
        <v>1002</v>
      </c>
      <c r="L13" s="567" t="s">
        <v>1003</v>
      </c>
      <c r="M13" s="567" t="s">
        <v>1004</v>
      </c>
      <c r="N13" s="567" t="s">
        <v>1011</v>
      </c>
      <c r="O13" s="567" t="s">
        <v>1012</v>
      </c>
      <c r="P13" s="567" t="s">
        <v>1007</v>
      </c>
      <c r="Q13" s="567" t="s">
        <v>1008</v>
      </c>
      <c r="R13" s="567">
        <v>80</v>
      </c>
    </row>
    <row r="14" spans="1:18" ht="15" x14ac:dyDescent="0.2">
      <c r="A14" s="567"/>
      <c r="B14" s="567"/>
      <c r="C14" s="567"/>
      <c r="D14" s="569">
        <v>0.32226851851851851</v>
      </c>
      <c r="E14" s="567">
        <v>112352</v>
      </c>
      <c r="F14" s="567" t="s">
        <v>1001</v>
      </c>
      <c r="G14" s="567" t="s">
        <v>326</v>
      </c>
      <c r="H14" s="567">
        <v>0</v>
      </c>
      <c r="I14" s="567">
        <v>401</v>
      </c>
      <c r="J14" s="567" t="s">
        <v>327</v>
      </c>
      <c r="K14" s="567" t="s">
        <v>1002</v>
      </c>
      <c r="L14" s="567" t="s">
        <v>1003</v>
      </c>
      <c r="M14" s="567" t="s">
        <v>1004</v>
      </c>
      <c r="N14" s="567" t="s">
        <v>1011</v>
      </c>
      <c r="O14" s="567" t="s">
        <v>1012</v>
      </c>
      <c r="P14" s="567" t="s">
        <v>1009</v>
      </c>
      <c r="Q14" s="567" t="s">
        <v>1008</v>
      </c>
      <c r="R14" s="567">
        <v>80</v>
      </c>
    </row>
    <row r="15" spans="1:18" ht="15" x14ac:dyDescent="0.2">
      <c r="A15" s="567"/>
      <c r="B15" s="567"/>
      <c r="C15" s="567"/>
      <c r="D15" s="569">
        <v>0.32226851851851851</v>
      </c>
      <c r="E15" s="567">
        <v>0</v>
      </c>
      <c r="F15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8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7" width="7.625" style="568" bestFit="1" customWidth="1"/>
    <col min="8" max="8" width="2.25" style="568" bestFit="1" customWidth="1"/>
    <col min="9" max="9" width="4.375" style="568" bestFit="1" customWidth="1"/>
    <col min="10" max="10" width="8.375" style="568" bestFit="1" customWidth="1"/>
    <col min="11" max="13" width="11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3" width="7.625" style="568" bestFit="1" customWidth="1"/>
    <col min="264" max="264" width="2.25" style="568" bestFit="1" customWidth="1"/>
    <col min="265" max="265" width="4.375" style="568" bestFit="1" customWidth="1"/>
    <col min="266" max="266" width="8.375" style="568" bestFit="1" customWidth="1"/>
    <col min="267" max="269" width="11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19" width="7.625" style="568" bestFit="1" customWidth="1"/>
    <col min="520" max="520" width="2.25" style="568" bestFit="1" customWidth="1"/>
    <col min="521" max="521" width="4.375" style="568" bestFit="1" customWidth="1"/>
    <col min="522" max="522" width="8.375" style="568" bestFit="1" customWidth="1"/>
    <col min="523" max="525" width="11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5" width="7.625" style="568" bestFit="1" customWidth="1"/>
    <col min="776" max="776" width="2.25" style="568" bestFit="1" customWidth="1"/>
    <col min="777" max="777" width="4.375" style="568" bestFit="1" customWidth="1"/>
    <col min="778" max="778" width="8.375" style="568" bestFit="1" customWidth="1"/>
    <col min="779" max="781" width="11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1" width="7.625" style="568" bestFit="1" customWidth="1"/>
    <col min="1032" max="1032" width="2.25" style="568" bestFit="1" customWidth="1"/>
    <col min="1033" max="1033" width="4.375" style="568" bestFit="1" customWidth="1"/>
    <col min="1034" max="1034" width="8.375" style="568" bestFit="1" customWidth="1"/>
    <col min="1035" max="1037" width="11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7" width="7.625" style="568" bestFit="1" customWidth="1"/>
    <col min="1288" max="1288" width="2.25" style="568" bestFit="1" customWidth="1"/>
    <col min="1289" max="1289" width="4.375" style="568" bestFit="1" customWidth="1"/>
    <col min="1290" max="1290" width="8.375" style="568" bestFit="1" customWidth="1"/>
    <col min="1291" max="1293" width="11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3" width="7.625" style="568" bestFit="1" customWidth="1"/>
    <col min="1544" max="1544" width="2.25" style="568" bestFit="1" customWidth="1"/>
    <col min="1545" max="1545" width="4.375" style="568" bestFit="1" customWidth="1"/>
    <col min="1546" max="1546" width="8.375" style="568" bestFit="1" customWidth="1"/>
    <col min="1547" max="1549" width="11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799" width="7.625" style="568" bestFit="1" customWidth="1"/>
    <col min="1800" max="1800" width="2.25" style="568" bestFit="1" customWidth="1"/>
    <col min="1801" max="1801" width="4.375" style="568" bestFit="1" customWidth="1"/>
    <col min="1802" max="1802" width="8.375" style="568" bestFit="1" customWidth="1"/>
    <col min="1803" max="1805" width="11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5" width="7.625" style="568" bestFit="1" customWidth="1"/>
    <col min="2056" max="2056" width="2.25" style="568" bestFit="1" customWidth="1"/>
    <col min="2057" max="2057" width="4.375" style="568" bestFit="1" customWidth="1"/>
    <col min="2058" max="2058" width="8.375" style="568" bestFit="1" customWidth="1"/>
    <col min="2059" max="2061" width="11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1" width="7.625" style="568" bestFit="1" customWidth="1"/>
    <col min="2312" max="2312" width="2.25" style="568" bestFit="1" customWidth="1"/>
    <col min="2313" max="2313" width="4.375" style="568" bestFit="1" customWidth="1"/>
    <col min="2314" max="2314" width="8.375" style="568" bestFit="1" customWidth="1"/>
    <col min="2315" max="2317" width="11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7" width="7.625" style="568" bestFit="1" customWidth="1"/>
    <col min="2568" max="2568" width="2.25" style="568" bestFit="1" customWidth="1"/>
    <col min="2569" max="2569" width="4.375" style="568" bestFit="1" customWidth="1"/>
    <col min="2570" max="2570" width="8.375" style="568" bestFit="1" customWidth="1"/>
    <col min="2571" max="2573" width="11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3" width="7.625" style="568" bestFit="1" customWidth="1"/>
    <col min="2824" max="2824" width="2.25" style="568" bestFit="1" customWidth="1"/>
    <col min="2825" max="2825" width="4.375" style="568" bestFit="1" customWidth="1"/>
    <col min="2826" max="2826" width="8.375" style="568" bestFit="1" customWidth="1"/>
    <col min="2827" max="2829" width="11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79" width="7.625" style="568" bestFit="1" customWidth="1"/>
    <col min="3080" max="3080" width="2.25" style="568" bestFit="1" customWidth="1"/>
    <col min="3081" max="3081" width="4.375" style="568" bestFit="1" customWidth="1"/>
    <col min="3082" max="3082" width="8.375" style="568" bestFit="1" customWidth="1"/>
    <col min="3083" max="3085" width="11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5" width="7.625" style="568" bestFit="1" customWidth="1"/>
    <col min="3336" max="3336" width="2.25" style="568" bestFit="1" customWidth="1"/>
    <col min="3337" max="3337" width="4.375" style="568" bestFit="1" customWidth="1"/>
    <col min="3338" max="3338" width="8.375" style="568" bestFit="1" customWidth="1"/>
    <col min="3339" max="3341" width="11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1" width="7.625" style="568" bestFit="1" customWidth="1"/>
    <col min="3592" max="3592" width="2.25" style="568" bestFit="1" customWidth="1"/>
    <col min="3593" max="3593" width="4.375" style="568" bestFit="1" customWidth="1"/>
    <col min="3594" max="3594" width="8.375" style="568" bestFit="1" customWidth="1"/>
    <col min="3595" max="3597" width="11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7" width="7.625" style="568" bestFit="1" customWidth="1"/>
    <col min="3848" max="3848" width="2.25" style="568" bestFit="1" customWidth="1"/>
    <col min="3849" max="3849" width="4.375" style="568" bestFit="1" customWidth="1"/>
    <col min="3850" max="3850" width="8.375" style="568" bestFit="1" customWidth="1"/>
    <col min="3851" max="3853" width="11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3" width="7.625" style="568" bestFit="1" customWidth="1"/>
    <col min="4104" max="4104" width="2.25" style="568" bestFit="1" customWidth="1"/>
    <col min="4105" max="4105" width="4.375" style="568" bestFit="1" customWidth="1"/>
    <col min="4106" max="4106" width="8.375" style="568" bestFit="1" customWidth="1"/>
    <col min="4107" max="4109" width="11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59" width="7.625" style="568" bestFit="1" customWidth="1"/>
    <col min="4360" max="4360" width="2.25" style="568" bestFit="1" customWidth="1"/>
    <col min="4361" max="4361" width="4.375" style="568" bestFit="1" customWidth="1"/>
    <col min="4362" max="4362" width="8.375" style="568" bestFit="1" customWidth="1"/>
    <col min="4363" max="4365" width="11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5" width="7.625" style="568" bestFit="1" customWidth="1"/>
    <col min="4616" max="4616" width="2.25" style="568" bestFit="1" customWidth="1"/>
    <col min="4617" max="4617" width="4.375" style="568" bestFit="1" customWidth="1"/>
    <col min="4618" max="4618" width="8.375" style="568" bestFit="1" customWidth="1"/>
    <col min="4619" max="4621" width="11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1" width="7.625" style="568" bestFit="1" customWidth="1"/>
    <col min="4872" max="4872" width="2.25" style="568" bestFit="1" customWidth="1"/>
    <col min="4873" max="4873" width="4.375" style="568" bestFit="1" customWidth="1"/>
    <col min="4874" max="4874" width="8.375" style="568" bestFit="1" customWidth="1"/>
    <col min="4875" max="4877" width="11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7" width="7.625" style="568" bestFit="1" customWidth="1"/>
    <col min="5128" max="5128" width="2.25" style="568" bestFit="1" customWidth="1"/>
    <col min="5129" max="5129" width="4.375" style="568" bestFit="1" customWidth="1"/>
    <col min="5130" max="5130" width="8.375" style="568" bestFit="1" customWidth="1"/>
    <col min="5131" max="5133" width="11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3" width="7.625" style="568" bestFit="1" customWidth="1"/>
    <col min="5384" max="5384" width="2.25" style="568" bestFit="1" customWidth="1"/>
    <col min="5385" max="5385" width="4.375" style="568" bestFit="1" customWidth="1"/>
    <col min="5386" max="5386" width="8.375" style="568" bestFit="1" customWidth="1"/>
    <col min="5387" max="5389" width="11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39" width="7.625" style="568" bestFit="1" customWidth="1"/>
    <col min="5640" max="5640" width="2.25" style="568" bestFit="1" customWidth="1"/>
    <col min="5641" max="5641" width="4.375" style="568" bestFit="1" customWidth="1"/>
    <col min="5642" max="5642" width="8.375" style="568" bestFit="1" customWidth="1"/>
    <col min="5643" max="5645" width="11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5" width="7.625" style="568" bestFit="1" customWidth="1"/>
    <col min="5896" max="5896" width="2.25" style="568" bestFit="1" customWidth="1"/>
    <col min="5897" max="5897" width="4.375" style="568" bestFit="1" customWidth="1"/>
    <col min="5898" max="5898" width="8.375" style="568" bestFit="1" customWidth="1"/>
    <col min="5899" max="5901" width="11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1" width="7.625" style="568" bestFit="1" customWidth="1"/>
    <col min="6152" max="6152" width="2.25" style="568" bestFit="1" customWidth="1"/>
    <col min="6153" max="6153" width="4.375" style="568" bestFit="1" customWidth="1"/>
    <col min="6154" max="6154" width="8.375" style="568" bestFit="1" customWidth="1"/>
    <col min="6155" max="6157" width="11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7" width="7.625" style="568" bestFit="1" customWidth="1"/>
    <col min="6408" max="6408" width="2.25" style="568" bestFit="1" customWidth="1"/>
    <col min="6409" max="6409" width="4.375" style="568" bestFit="1" customWidth="1"/>
    <col min="6410" max="6410" width="8.375" style="568" bestFit="1" customWidth="1"/>
    <col min="6411" max="6413" width="11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3" width="7.625" style="568" bestFit="1" customWidth="1"/>
    <col min="6664" max="6664" width="2.25" style="568" bestFit="1" customWidth="1"/>
    <col min="6665" max="6665" width="4.375" style="568" bestFit="1" customWidth="1"/>
    <col min="6666" max="6666" width="8.375" style="568" bestFit="1" customWidth="1"/>
    <col min="6667" max="6669" width="11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19" width="7.625" style="568" bestFit="1" customWidth="1"/>
    <col min="6920" max="6920" width="2.25" style="568" bestFit="1" customWidth="1"/>
    <col min="6921" max="6921" width="4.375" style="568" bestFit="1" customWidth="1"/>
    <col min="6922" max="6922" width="8.375" style="568" bestFit="1" customWidth="1"/>
    <col min="6923" max="6925" width="11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5" width="7.625" style="568" bestFit="1" customWidth="1"/>
    <col min="7176" max="7176" width="2.25" style="568" bestFit="1" customWidth="1"/>
    <col min="7177" max="7177" width="4.375" style="568" bestFit="1" customWidth="1"/>
    <col min="7178" max="7178" width="8.375" style="568" bestFit="1" customWidth="1"/>
    <col min="7179" max="7181" width="11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1" width="7.625" style="568" bestFit="1" customWidth="1"/>
    <col min="7432" max="7432" width="2.25" style="568" bestFit="1" customWidth="1"/>
    <col min="7433" max="7433" width="4.375" style="568" bestFit="1" customWidth="1"/>
    <col min="7434" max="7434" width="8.375" style="568" bestFit="1" customWidth="1"/>
    <col min="7435" max="7437" width="11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7" width="7.625" style="568" bestFit="1" customWidth="1"/>
    <col min="7688" max="7688" width="2.25" style="568" bestFit="1" customWidth="1"/>
    <col min="7689" max="7689" width="4.375" style="568" bestFit="1" customWidth="1"/>
    <col min="7690" max="7690" width="8.375" style="568" bestFit="1" customWidth="1"/>
    <col min="7691" max="7693" width="11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3" width="7.625" style="568" bestFit="1" customWidth="1"/>
    <col min="7944" max="7944" width="2.25" style="568" bestFit="1" customWidth="1"/>
    <col min="7945" max="7945" width="4.375" style="568" bestFit="1" customWidth="1"/>
    <col min="7946" max="7946" width="8.375" style="568" bestFit="1" customWidth="1"/>
    <col min="7947" max="7949" width="11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199" width="7.625" style="568" bestFit="1" customWidth="1"/>
    <col min="8200" max="8200" width="2.25" style="568" bestFit="1" customWidth="1"/>
    <col min="8201" max="8201" width="4.375" style="568" bestFit="1" customWidth="1"/>
    <col min="8202" max="8202" width="8.375" style="568" bestFit="1" customWidth="1"/>
    <col min="8203" max="8205" width="11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5" width="7.625" style="568" bestFit="1" customWidth="1"/>
    <col min="8456" max="8456" width="2.25" style="568" bestFit="1" customWidth="1"/>
    <col min="8457" max="8457" width="4.375" style="568" bestFit="1" customWidth="1"/>
    <col min="8458" max="8458" width="8.375" style="568" bestFit="1" customWidth="1"/>
    <col min="8459" max="8461" width="11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1" width="7.625" style="568" bestFit="1" customWidth="1"/>
    <col min="8712" max="8712" width="2.25" style="568" bestFit="1" customWidth="1"/>
    <col min="8713" max="8713" width="4.375" style="568" bestFit="1" customWidth="1"/>
    <col min="8714" max="8714" width="8.375" style="568" bestFit="1" customWidth="1"/>
    <col min="8715" max="8717" width="11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7" width="7.625" style="568" bestFit="1" customWidth="1"/>
    <col min="8968" max="8968" width="2.25" style="568" bestFit="1" customWidth="1"/>
    <col min="8969" max="8969" width="4.375" style="568" bestFit="1" customWidth="1"/>
    <col min="8970" max="8970" width="8.375" style="568" bestFit="1" customWidth="1"/>
    <col min="8971" max="8973" width="11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3" width="7.625" style="568" bestFit="1" customWidth="1"/>
    <col min="9224" max="9224" width="2.25" style="568" bestFit="1" customWidth="1"/>
    <col min="9225" max="9225" width="4.375" style="568" bestFit="1" customWidth="1"/>
    <col min="9226" max="9226" width="8.375" style="568" bestFit="1" customWidth="1"/>
    <col min="9227" max="9229" width="11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79" width="7.625" style="568" bestFit="1" customWidth="1"/>
    <col min="9480" max="9480" width="2.25" style="568" bestFit="1" customWidth="1"/>
    <col min="9481" max="9481" width="4.375" style="568" bestFit="1" customWidth="1"/>
    <col min="9482" max="9482" width="8.375" style="568" bestFit="1" customWidth="1"/>
    <col min="9483" max="9485" width="11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5" width="7.625" style="568" bestFit="1" customWidth="1"/>
    <col min="9736" max="9736" width="2.25" style="568" bestFit="1" customWidth="1"/>
    <col min="9737" max="9737" width="4.375" style="568" bestFit="1" customWidth="1"/>
    <col min="9738" max="9738" width="8.375" style="568" bestFit="1" customWidth="1"/>
    <col min="9739" max="9741" width="11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1" width="7.625" style="568" bestFit="1" customWidth="1"/>
    <col min="9992" max="9992" width="2.25" style="568" bestFit="1" customWidth="1"/>
    <col min="9993" max="9993" width="4.375" style="568" bestFit="1" customWidth="1"/>
    <col min="9994" max="9994" width="8.375" style="568" bestFit="1" customWidth="1"/>
    <col min="9995" max="9997" width="11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7" width="7.625" style="568" bestFit="1" customWidth="1"/>
    <col min="10248" max="10248" width="2.25" style="568" bestFit="1" customWidth="1"/>
    <col min="10249" max="10249" width="4.375" style="568" bestFit="1" customWidth="1"/>
    <col min="10250" max="10250" width="8.375" style="568" bestFit="1" customWidth="1"/>
    <col min="10251" max="10253" width="11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3" width="7.625" style="568" bestFit="1" customWidth="1"/>
    <col min="10504" max="10504" width="2.25" style="568" bestFit="1" customWidth="1"/>
    <col min="10505" max="10505" width="4.375" style="568" bestFit="1" customWidth="1"/>
    <col min="10506" max="10506" width="8.375" style="568" bestFit="1" customWidth="1"/>
    <col min="10507" max="10509" width="11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59" width="7.625" style="568" bestFit="1" customWidth="1"/>
    <col min="10760" max="10760" width="2.25" style="568" bestFit="1" customWidth="1"/>
    <col min="10761" max="10761" width="4.375" style="568" bestFit="1" customWidth="1"/>
    <col min="10762" max="10762" width="8.375" style="568" bestFit="1" customWidth="1"/>
    <col min="10763" max="10765" width="11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5" width="7.625" style="568" bestFit="1" customWidth="1"/>
    <col min="11016" max="11016" width="2.25" style="568" bestFit="1" customWidth="1"/>
    <col min="11017" max="11017" width="4.375" style="568" bestFit="1" customWidth="1"/>
    <col min="11018" max="11018" width="8.375" style="568" bestFit="1" customWidth="1"/>
    <col min="11019" max="11021" width="11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1" width="7.625" style="568" bestFit="1" customWidth="1"/>
    <col min="11272" max="11272" width="2.25" style="568" bestFit="1" customWidth="1"/>
    <col min="11273" max="11273" width="4.375" style="568" bestFit="1" customWidth="1"/>
    <col min="11274" max="11274" width="8.375" style="568" bestFit="1" customWidth="1"/>
    <col min="11275" max="11277" width="11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7" width="7.625" style="568" bestFit="1" customWidth="1"/>
    <col min="11528" max="11528" width="2.25" style="568" bestFit="1" customWidth="1"/>
    <col min="11529" max="11529" width="4.375" style="568" bestFit="1" customWidth="1"/>
    <col min="11530" max="11530" width="8.375" style="568" bestFit="1" customWidth="1"/>
    <col min="11531" max="11533" width="11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3" width="7.625" style="568" bestFit="1" customWidth="1"/>
    <col min="11784" max="11784" width="2.25" style="568" bestFit="1" customWidth="1"/>
    <col min="11785" max="11785" width="4.375" style="568" bestFit="1" customWidth="1"/>
    <col min="11786" max="11786" width="8.375" style="568" bestFit="1" customWidth="1"/>
    <col min="11787" max="11789" width="11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39" width="7.625" style="568" bestFit="1" customWidth="1"/>
    <col min="12040" max="12040" width="2.25" style="568" bestFit="1" customWidth="1"/>
    <col min="12041" max="12041" width="4.375" style="568" bestFit="1" customWidth="1"/>
    <col min="12042" max="12042" width="8.375" style="568" bestFit="1" customWidth="1"/>
    <col min="12043" max="12045" width="11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5" width="7.625" style="568" bestFit="1" customWidth="1"/>
    <col min="12296" max="12296" width="2.25" style="568" bestFit="1" customWidth="1"/>
    <col min="12297" max="12297" width="4.375" style="568" bestFit="1" customWidth="1"/>
    <col min="12298" max="12298" width="8.375" style="568" bestFit="1" customWidth="1"/>
    <col min="12299" max="12301" width="11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1" width="7.625" style="568" bestFit="1" customWidth="1"/>
    <col min="12552" max="12552" width="2.25" style="568" bestFit="1" customWidth="1"/>
    <col min="12553" max="12553" width="4.375" style="568" bestFit="1" customWidth="1"/>
    <col min="12554" max="12554" width="8.375" style="568" bestFit="1" customWidth="1"/>
    <col min="12555" max="12557" width="11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7" width="7.625" style="568" bestFit="1" customWidth="1"/>
    <col min="12808" max="12808" width="2.25" style="568" bestFit="1" customWidth="1"/>
    <col min="12809" max="12809" width="4.375" style="568" bestFit="1" customWidth="1"/>
    <col min="12810" max="12810" width="8.375" style="568" bestFit="1" customWidth="1"/>
    <col min="12811" max="12813" width="11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3" width="7.625" style="568" bestFit="1" customWidth="1"/>
    <col min="13064" max="13064" width="2.25" style="568" bestFit="1" customWidth="1"/>
    <col min="13065" max="13065" width="4.375" style="568" bestFit="1" customWidth="1"/>
    <col min="13066" max="13066" width="8.375" style="568" bestFit="1" customWidth="1"/>
    <col min="13067" max="13069" width="11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19" width="7.625" style="568" bestFit="1" customWidth="1"/>
    <col min="13320" max="13320" width="2.25" style="568" bestFit="1" customWidth="1"/>
    <col min="13321" max="13321" width="4.375" style="568" bestFit="1" customWidth="1"/>
    <col min="13322" max="13322" width="8.375" style="568" bestFit="1" customWidth="1"/>
    <col min="13323" max="13325" width="11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5" width="7.625" style="568" bestFit="1" customWidth="1"/>
    <col min="13576" max="13576" width="2.25" style="568" bestFit="1" customWidth="1"/>
    <col min="13577" max="13577" width="4.375" style="568" bestFit="1" customWidth="1"/>
    <col min="13578" max="13578" width="8.375" style="568" bestFit="1" customWidth="1"/>
    <col min="13579" max="13581" width="11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1" width="7.625" style="568" bestFit="1" customWidth="1"/>
    <col min="13832" max="13832" width="2.25" style="568" bestFit="1" customWidth="1"/>
    <col min="13833" max="13833" width="4.375" style="568" bestFit="1" customWidth="1"/>
    <col min="13834" max="13834" width="8.375" style="568" bestFit="1" customWidth="1"/>
    <col min="13835" max="13837" width="11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7" width="7.625" style="568" bestFit="1" customWidth="1"/>
    <col min="14088" max="14088" width="2.25" style="568" bestFit="1" customWidth="1"/>
    <col min="14089" max="14089" width="4.375" style="568" bestFit="1" customWidth="1"/>
    <col min="14090" max="14090" width="8.375" style="568" bestFit="1" customWidth="1"/>
    <col min="14091" max="14093" width="11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3" width="7.625" style="568" bestFit="1" customWidth="1"/>
    <col min="14344" max="14344" width="2.25" style="568" bestFit="1" customWidth="1"/>
    <col min="14345" max="14345" width="4.375" style="568" bestFit="1" customWidth="1"/>
    <col min="14346" max="14346" width="8.375" style="568" bestFit="1" customWidth="1"/>
    <col min="14347" max="14349" width="11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599" width="7.625" style="568" bestFit="1" customWidth="1"/>
    <col min="14600" max="14600" width="2.25" style="568" bestFit="1" customWidth="1"/>
    <col min="14601" max="14601" width="4.375" style="568" bestFit="1" customWidth="1"/>
    <col min="14602" max="14602" width="8.375" style="568" bestFit="1" customWidth="1"/>
    <col min="14603" max="14605" width="11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5" width="7.625" style="568" bestFit="1" customWidth="1"/>
    <col min="14856" max="14856" width="2.25" style="568" bestFit="1" customWidth="1"/>
    <col min="14857" max="14857" width="4.375" style="568" bestFit="1" customWidth="1"/>
    <col min="14858" max="14858" width="8.375" style="568" bestFit="1" customWidth="1"/>
    <col min="14859" max="14861" width="11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1" width="7.625" style="568" bestFit="1" customWidth="1"/>
    <col min="15112" max="15112" width="2.25" style="568" bestFit="1" customWidth="1"/>
    <col min="15113" max="15113" width="4.375" style="568" bestFit="1" customWidth="1"/>
    <col min="15114" max="15114" width="8.375" style="568" bestFit="1" customWidth="1"/>
    <col min="15115" max="15117" width="11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7" width="7.625" style="568" bestFit="1" customWidth="1"/>
    <col min="15368" max="15368" width="2.25" style="568" bestFit="1" customWidth="1"/>
    <col min="15369" max="15369" width="4.375" style="568" bestFit="1" customWidth="1"/>
    <col min="15370" max="15370" width="8.375" style="568" bestFit="1" customWidth="1"/>
    <col min="15371" max="15373" width="11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3" width="7.625" style="568" bestFit="1" customWidth="1"/>
    <col min="15624" max="15624" width="2.25" style="568" bestFit="1" customWidth="1"/>
    <col min="15625" max="15625" width="4.375" style="568" bestFit="1" customWidth="1"/>
    <col min="15626" max="15626" width="8.375" style="568" bestFit="1" customWidth="1"/>
    <col min="15627" max="15629" width="11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79" width="7.625" style="568" bestFit="1" customWidth="1"/>
    <col min="15880" max="15880" width="2.25" style="568" bestFit="1" customWidth="1"/>
    <col min="15881" max="15881" width="4.375" style="568" bestFit="1" customWidth="1"/>
    <col min="15882" max="15882" width="8.375" style="568" bestFit="1" customWidth="1"/>
    <col min="15883" max="15885" width="11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5" width="7.625" style="568" bestFit="1" customWidth="1"/>
    <col min="16136" max="16136" width="2.25" style="568" bestFit="1" customWidth="1"/>
    <col min="16137" max="16137" width="4.375" style="568" bestFit="1" customWidth="1"/>
    <col min="16138" max="16138" width="8.375" style="568" bestFit="1" customWidth="1"/>
    <col min="16139" max="16141" width="11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831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401</v>
      </c>
      <c r="J9" s="567" t="s">
        <v>327</v>
      </c>
      <c r="K9" s="567" t="s">
        <v>329</v>
      </c>
      <c r="L9" s="567" t="s">
        <v>330</v>
      </c>
      <c r="M9" s="567" t="s">
        <v>331</v>
      </c>
      <c r="N9" s="567" t="s">
        <v>1011</v>
      </c>
      <c r="O9" s="567" t="s">
        <v>1012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0.15666666666666665</v>
      </c>
      <c r="E10" s="567">
        <v>108288</v>
      </c>
      <c r="F10" s="567" t="s">
        <v>1001</v>
      </c>
      <c r="G10" s="567" t="s">
        <v>326</v>
      </c>
      <c r="H10" s="567">
        <v>0</v>
      </c>
      <c r="I10" s="567">
        <v>401</v>
      </c>
      <c r="J10" s="567" t="s">
        <v>327</v>
      </c>
      <c r="K10" s="567" t="s">
        <v>329</v>
      </c>
      <c r="L10" s="567" t="s">
        <v>330</v>
      </c>
      <c r="M10" s="567" t="s">
        <v>331</v>
      </c>
      <c r="N10" s="567" t="s">
        <v>1011</v>
      </c>
      <c r="O10" s="567" t="s">
        <v>1012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0.16666666666666666</v>
      </c>
      <c r="E11" s="567">
        <v>6912</v>
      </c>
      <c r="F11" s="567" t="s">
        <v>1001</v>
      </c>
      <c r="G11" s="567" t="s">
        <v>326</v>
      </c>
      <c r="H11" s="567">
        <v>0</v>
      </c>
      <c r="I11" s="567">
        <v>97</v>
      </c>
      <c r="J11" s="567" t="s">
        <v>327</v>
      </c>
      <c r="K11" s="567" t="s">
        <v>1002</v>
      </c>
      <c r="L11" s="567" t="s">
        <v>1003</v>
      </c>
      <c r="M11" s="567" t="s">
        <v>1004</v>
      </c>
      <c r="N11" s="567" t="s">
        <v>1013</v>
      </c>
      <c r="O11" s="567" t="s">
        <v>1014</v>
      </c>
      <c r="P11" s="567" t="s">
        <v>1007</v>
      </c>
      <c r="Q11" s="567" t="s">
        <v>1008</v>
      </c>
      <c r="R11" s="567">
        <v>80</v>
      </c>
    </row>
    <row r="12" spans="1:18" ht="15" x14ac:dyDescent="0.2">
      <c r="A12" s="567"/>
      <c r="B12" s="567"/>
      <c r="C12" s="567"/>
      <c r="D12" s="569">
        <v>0.22541666666666668</v>
      </c>
      <c r="E12" s="567">
        <v>40608</v>
      </c>
      <c r="F12" s="567" t="s">
        <v>1001</v>
      </c>
      <c r="G12" s="567" t="s">
        <v>326</v>
      </c>
      <c r="H12" s="567">
        <v>0</v>
      </c>
      <c r="I12" s="567">
        <v>97</v>
      </c>
      <c r="J12" s="567" t="s">
        <v>327</v>
      </c>
      <c r="K12" s="567" t="s">
        <v>1002</v>
      </c>
      <c r="L12" s="567" t="s">
        <v>1003</v>
      </c>
      <c r="M12" s="567" t="s">
        <v>1004</v>
      </c>
      <c r="N12" s="567" t="s">
        <v>1013</v>
      </c>
      <c r="O12" s="567" t="s">
        <v>1014</v>
      </c>
      <c r="P12" s="567" t="s">
        <v>1009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0.22916666666666666</v>
      </c>
      <c r="E13" s="567">
        <v>2592</v>
      </c>
      <c r="F13" s="567" t="s">
        <v>1001</v>
      </c>
      <c r="G13" s="567" t="s">
        <v>326</v>
      </c>
      <c r="H13" s="567">
        <v>0</v>
      </c>
      <c r="I13" s="567">
        <v>39</v>
      </c>
      <c r="J13" s="567" t="s">
        <v>327</v>
      </c>
      <c r="K13" s="567" t="s">
        <v>1002</v>
      </c>
      <c r="L13" s="567" t="s">
        <v>1003</v>
      </c>
      <c r="M13" s="567" t="s">
        <v>1004</v>
      </c>
      <c r="N13" s="567" t="s">
        <v>1011</v>
      </c>
      <c r="O13" s="567" t="s">
        <v>1012</v>
      </c>
      <c r="P13" s="567" t="s">
        <v>1007</v>
      </c>
      <c r="Q13" s="567" t="s">
        <v>1008</v>
      </c>
      <c r="R13" s="567">
        <v>80</v>
      </c>
    </row>
    <row r="14" spans="1:18" ht="15" x14ac:dyDescent="0.2">
      <c r="A14" s="567"/>
      <c r="B14" s="567"/>
      <c r="C14" s="567"/>
      <c r="D14" s="569">
        <v>0.26180555555555557</v>
      </c>
      <c r="E14" s="567">
        <v>22560</v>
      </c>
      <c r="F14" s="567" t="s">
        <v>1001</v>
      </c>
      <c r="G14" s="567" t="s">
        <v>326</v>
      </c>
      <c r="H14" s="567">
        <v>0</v>
      </c>
      <c r="I14" s="567">
        <v>39</v>
      </c>
      <c r="J14" s="567" t="s">
        <v>327</v>
      </c>
      <c r="K14" s="567" t="s">
        <v>1002</v>
      </c>
      <c r="L14" s="567" t="s">
        <v>1003</v>
      </c>
      <c r="M14" s="567" t="s">
        <v>1004</v>
      </c>
      <c r="N14" s="567" t="s">
        <v>1011</v>
      </c>
      <c r="O14" s="567" t="s">
        <v>1012</v>
      </c>
      <c r="P14" s="567" t="s">
        <v>1009</v>
      </c>
      <c r="Q14" s="567" t="s">
        <v>1008</v>
      </c>
      <c r="R14" s="567">
        <v>80</v>
      </c>
    </row>
    <row r="15" spans="1:18" ht="15" x14ac:dyDescent="0.2">
      <c r="A15" s="567"/>
      <c r="B15" s="567"/>
      <c r="C15" s="567"/>
      <c r="D15" s="569">
        <v>0.2638888888888889</v>
      </c>
      <c r="E15" s="567">
        <v>1440</v>
      </c>
      <c r="F15" s="567" t="s">
        <v>1001</v>
      </c>
      <c r="G15" s="567" t="s">
        <v>326</v>
      </c>
      <c r="H15" s="567">
        <v>0</v>
      </c>
      <c r="I15" s="567">
        <v>39</v>
      </c>
      <c r="J15" s="567" t="s">
        <v>327</v>
      </c>
      <c r="K15" s="567" t="s">
        <v>1002</v>
      </c>
      <c r="L15" s="567" t="s">
        <v>1003</v>
      </c>
      <c r="M15" s="567" t="s">
        <v>1004</v>
      </c>
      <c r="N15" s="567" t="s">
        <v>1013</v>
      </c>
      <c r="O15" s="567" t="s">
        <v>1014</v>
      </c>
      <c r="P15" s="567" t="s">
        <v>1007</v>
      </c>
      <c r="Q15" s="567" t="s">
        <v>1008</v>
      </c>
      <c r="R15" s="567">
        <v>80</v>
      </c>
    </row>
    <row r="16" spans="1:18" ht="15" x14ac:dyDescent="0.2">
      <c r="A16" s="567"/>
      <c r="B16" s="567"/>
      <c r="C16" s="567"/>
      <c r="D16" s="569">
        <v>0.28999999999999998</v>
      </c>
      <c r="E16" s="567">
        <v>18048</v>
      </c>
      <c r="F16" s="567" t="s">
        <v>1001</v>
      </c>
      <c r="G16" s="567" t="s">
        <v>326</v>
      </c>
      <c r="H16" s="567">
        <v>0</v>
      </c>
      <c r="I16" s="567">
        <v>39</v>
      </c>
      <c r="J16" s="567" t="s">
        <v>327</v>
      </c>
      <c r="K16" s="567" t="s">
        <v>1002</v>
      </c>
      <c r="L16" s="567" t="s">
        <v>1003</v>
      </c>
      <c r="M16" s="567" t="s">
        <v>1004</v>
      </c>
      <c r="N16" s="567" t="s">
        <v>1013</v>
      </c>
      <c r="O16" s="567" t="s">
        <v>1014</v>
      </c>
      <c r="P16" s="567" t="s">
        <v>1009</v>
      </c>
      <c r="Q16" s="567" t="s">
        <v>1008</v>
      </c>
      <c r="R16" s="567">
        <v>80</v>
      </c>
    </row>
    <row r="17" spans="1:18" ht="15" x14ac:dyDescent="0.2">
      <c r="A17" s="567"/>
      <c r="B17" s="567"/>
      <c r="C17" s="567"/>
      <c r="D17" s="569">
        <v>0.29166666666666669</v>
      </c>
      <c r="E17" s="567">
        <v>1152</v>
      </c>
      <c r="F17" s="567" t="s">
        <v>1001</v>
      </c>
      <c r="G17" s="567" t="s">
        <v>326</v>
      </c>
      <c r="H17" s="567">
        <v>0</v>
      </c>
      <c r="I17" s="567">
        <v>401</v>
      </c>
      <c r="J17" s="567" t="s">
        <v>327</v>
      </c>
      <c r="K17" s="567" t="s">
        <v>1002</v>
      </c>
      <c r="L17" s="567" t="s">
        <v>1003</v>
      </c>
      <c r="M17" s="567" t="s">
        <v>1004</v>
      </c>
      <c r="N17" s="567" t="s">
        <v>1011</v>
      </c>
      <c r="O17" s="567" t="s">
        <v>1012</v>
      </c>
      <c r="P17" s="567" t="s">
        <v>1007</v>
      </c>
      <c r="Q17" s="567" t="s">
        <v>1008</v>
      </c>
      <c r="R17" s="567">
        <v>80</v>
      </c>
    </row>
    <row r="18" spans="1:18" ht="15" x14ac:dyDescent="0.2">
      <c r="A18" s="567"/>
      <c r="B18" s="567"/>
      <c r="C18" s="567"/>
      <c r="D18" s="569">
        <v>0.29166666666666669</v>
      </c>
      <c r="E18" s="567">
        <v>0</v>
      </c>
      <c r="F18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7" width="7.625" style="568" bestFit="1" customWidth="1"/>
    <col min="8" max="8" width="2.25" style="568" bestFit="1" customWidth="1"/>
    <col min="9" max="9" width="4.375" style="568" bestFit="1" customWidth="1"/>
    <col min="10" max="10" width="8.375" style="568" bestFit="1" customWidth="1"/>
    <col min="11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3" width="7.625" style="568" bestFit="1" customWidth="1"/>
    <col min="264" max="264" width="2.25" style="568" bestFit="1" customWidth="1"/>
    <col min="265" max="265" width="4.375" style="568" bestFit="1" customWidth="1"/>
    <col min="266" max="266" width="8.375" style="568" bestFit="1" customWidth="1"/>
    <col min="267" max="269" width="8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19" width="7.625" style="568" bestFit="1" customWidth="1"/>
    <col min="520" max="520" width="2.25" style="568" bestFit="1" customWidth="1"/>
    <col min="521" max="521" width="4.375" style="568" bestFit="1" customWidth="1"/>
    <col min="522" max="522" width="8.375" style="568" bestFit="1" customWidth="1"/>
    <col min="523" max="525" width="8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5" width="7.625" style="568" bestFit="1" customWidth="1"/>
    <col min="776" max="776" width="2.25" style="568" bestFit="1" customWidth="1"/>
    <col min="777" max="777" width="4.375" style="568" bestFit="1" customWidth="1"/>
    <col min="778" max="778" width="8.375" style="568" bestFit="1" customWidth="1"/>
    <col min="779" max="781" width="8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1" width="7.625" style="568" bestFit="1" customWidth="1"/>
    <col min="1032" max="1032" width="2.25" style="568" bestFit="1" customWidth="1"/>
    <col min="1033" max="1033" width="4.375" style="568" bestFit="1" customWidth="1"/>
    <col min="1034" max="1034" width="8.375" style="568" bestFit="1" customWidth="1"/>
    <col min="1035" max="1037" width="8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7" width="7.625" style="568" bestFit="1" customWidth="1"/>
    <col min="1288" max="1288" width="2.25" style="568" bestFit="1" customWidth="1"/>
    <col min="1289" max="1289" width="4.375" style="568" bestFit="1" customWidth="1"/>
    <col min="1290" max="1290" width="8.375" style="568" bestFit="1" customWidth="1"/>
    <col min="1291" max="1293" width="8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3" width="7.625" style="568" bestFit="1" customWidth="1"/>
    <col min="1544" max="1544" width="2.25" style="568" bestFit="1" customWidth="1"/>
    <col min="1545" max="1545" width="4.375" style="568" bestFit="1" customWidth="1"/>
    <col min="1546" max="1546" width="8.375" style="568" bestFit="1" customWidth="1"/>
    <col min="1547" max="1549" width="8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799" width="7.625" style="568" bestFit="1" customWidth="1"/>
    <col min="1800" max="1800" width="2.25" style="568" bestFit="1" customWidth="1"/>
    <col min="1801" max="1801" width="4.375" style="568" bestFit="1" customWidth="1"/>
    <col min="1802" max="1802" width="8.375" style="568" bestFit="1" customWidth="1"/>
    <col min="1803" max="1805" width="8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5" width="7.625" style="568" bestFit="1" customWidth="1"/>
    <col min="2056" max="2056" width="2.25" style="568" bestFit="1" customWidth="1"/>
    <col min="2057" max="2057" width="4.375" style="568" bestFit="1" customWidth="1"/>
    <col min="2058" max="2058" width="8.375" style="568" bestFit="1" customWidth="1"/>
    <col min="2059" max="2061" width="8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1" width="7.625" style="568" bestFit="1" customWidth="1"/>
    <col min="2312" max="2312" width="2.25" style="568" bestFit="1" customWidth="1"/>
    <col min="2313" max="2313" width="4.375" style="568" bestFit="1" customWidth="1"/>
    <col min="2314" max="2314" width="8.375" style="568" bestFit="1" customWidth="1"/>
    <col min="2315" max="2317" width="8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7" width="7.625" style="568" bestFit="1" customWidth="1"/>
    <col min="2568" max="2568" width="2.25" style="568" bestFit="1" customWidth="1"/>
    <col min="2569" max="2569" width="4.375" style="568" bestFit="1" customWidth="1"/>
    <col min="2570" max="2570" width="8.375" style="568" bestFit="1" customWidth="1"/>
    <col min="2571" max="2573" width="8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3" width="7.625" style="568" bestFit="1" customWidth="1"/>
    <col min="2824" max="2824" width="2.25" style="568" bestFit="1" customWidth="1"/>
    <col min="2825" max="2825" width="4.375" style="568" bestFit="1" customWidth="1"/>
    <col min="2826" max="2826" width="8.375" style="568" bestFit="1" customWidth="1"/>
    <col min="2827" max="2829" width="8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79" width="7.625" style="568" bestFit="1" customWidth="1"/>
    <col min="3080" max="3080" width="2.25" style="568" bestFit="1" customWidth="1"/>
    <col min="3081" max="3081" width="4.375" style="568" bestFit="1" customWidth="1"/>
    <col min="3082" max="3082" width="8.375" style="568" bestFit="1" customWidth="1"/>
    <col min="3083" max="3085" width="8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5" width="7.625" style="568" bestFit="1" customWidth="1"/>
    <col min="3336" max="3336" width="2.25" style="568" bestFit="1" customWidth="1"/>
    <col min="3337" max="3337" width="4.375" style="568" bestFit="1" customWidth="1"/>
    <col min="3338" max="3338" width="8.375" style="568" bestFit="1" customWidth="1"/>
    <col min="3339" max="3341" width="8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1" width="7.625" style="568" bestFit="1" customWidth="1"/>
    <col min="3592" max="3592" width="2.25" style="568" bestFit="1" customWidth="1"/>
    <col min="3593" max="3593" width="4.375" style="568" bestFit="1" customWidth="1"/>
    <col min="3594" max="3594" width="8.375" style="568" bestFit="1" customWidth="1"/>
    <col min="3595" max="3597" width="8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7" width="7.625" style="568" bestFit="1" customWidth="1"/>
    <col min="3848" max="3848" width="2.25" style="568" bestFit="1" customWidth="1"/>
    <col min="3849" max="3849" width="4.375" style="568" bestFit="1" customWidth="1"/>
    <col min="3850" max="3850" width="8.375" style="568" bestFit="1" customWidth="1"/>
    <col min="3851" max="3853" width="8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3" width="7.625" style="568" bestFit="1" customWidth="1"/>
    <col min="4104" max="4104" width="2.25" style="568" bestFit="1" customWidth="1"/>
    <col min="4105" max="4105" width="4.375" style="568" bestFit="1" customWidth="1"/>
    <col min="4106" max="4106" width="8.375" style="568" bestFit="1" customWidth="1"/>
    <col min="4107" max="4109" width="8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59" width="7.625" style="568" bestFit="1" customWidth="1"/>
    <col min="4360" max="4360" width="2.25" style="568" bestFit="1" customWidth="1"/>
    <col min="4361" max="4361" width="4.375" style="568" bestFit="1" customWidth="1"/>
    <col min="4362" max="4362" width="8.375" style="568" bestFit="1" customWidth="1"/>
    <col min="4363" max="4365" width="8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5" width="7.625" style="568" bestFit="1" customWidth="1"/>
    <col min="4616" max="4616" width="2.25" style="568" bestFit="1" customWidth="1"/>
    <col min="4617" max="4617" width="4.375" style="568" bestFit="1" customWidth="1"/>
    <col min="4618" max="4618" width="8.375" style="568" bestFit="1" customWidth="1"/>
    <col min="4619" max="4621" width="8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1" width="7.625" style="568" bestFit="1" customWidth="1"/>
    <col min="4872" max="4872" width="2.25" style="568" bestFit="1" customWidth="1"/>
    <col min="4873" max="4873" width="4.375" style="568" bestFit="1" customWidth="1"/>
    <col min="4874" max="4874" width="8.375" style="568" bestFit="1" customWidth="1"/>
    <col min="4875" max="4877" width="8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7" width="7.625" style="568" bestFit="1" customWidth="1"/>
    <col min="5128" max="5128" width="2.25" style="568" bestFit="1" customWidth="1"/>
    <col min="5129" max="5129" width="4.375" style="568" bestFit="1" customWidth="1"/>
    <col min="5130" max="5130" width="8.375" style="568" bestFit="1" customWidth="1"/>
    <col min="5131" max="5133" width="8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3" width="7.625" style="568" bestFit="1" customWidth="1"/>
    <col min="5384" max="5384" width="2.25" style="568" bestFit="1" customWidth="1"/>
    <col min="5385" max="5385" width="4.375" style="568" bestFit="1" customWidth="1"/>
    <col min="5386" max="5386" width="8.375" style="568" bestFit="1" customWidth="1"/>
    <col min="5387" max="5389" width="8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39" width="7.625" style="568" bestFit="1" customWidth="1"/>
    <col min="5640" max="5640" width="2.25" style="568" bestFit="1" customWidth="1"/>
    <col min="5641" max="5641" width="4.375" style="568" bestFit="1" customWidth="1"/>
    <col min="5642" max="5642" width="8.375" style="568" bestFit="1" customWidth="1"/>
    <col min="5643" max="5645" width="8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5" width="7.625" style="568" bestFit="1" customWidth="1"/>
    <col min="5896" max="5896" width="2.25" style="568" bestFit="1" customWidth="1"/>
    <col min="5897" max="5897" width="4.375" style="568" bestFit="1" customWidth="1"/>
    <col min="5898" max="5898" width="8.375" style="568" bestFit="1" customWidth="1"/>
    <col min="5899" max="5901" width="8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1" width="7.625" style="568" bestFit="1" customWidth="1"/>
    <col min="6152" max="6152" width="2.25" style="568" bestFit="1" customWidth="1"/>
    <col min="6153" max="6153" width="4.375" style="568" bestFit="1" customWidth="1"/>
    <col min="6154" max="6154" width="8.375" style="568" bestFit="1" customWidth="1"/>
    <col min="6155" max="6157" width="8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7" width="7.625" style="568" bestFit="1" customWidth="1"/>
    <col min="6408" max="6408" width="2.25" style="568" bestFit="1" customWidth="1"/>
    <col min="6409" max="6409" width="4.375" style="568" bestFit="1" customWidth="1"/>
    <col min="6410" max="6410" width="8.375" style="568" bestFit="1" customWidth="1"/>
    <col min="6411" max="6413" width="8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3" width="7.625" style="568" bestFit="1" customWidth="1"/>
    <col min="6664" max="6664" width="2.25" style="568" bestFit="1" customWidth="1"/>
    <col min="6665" max="6665" width="4.375" style="568" bestFit="1" customWidth="1"/>
    <col min="6666" max="6666" width="8.375" style="568" bestFit="1" customWidth="1"/>
    <col min="6667" max="6669" width="8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19" width="7.625" style="568" bestFit="1" customWidth="1"/>
    <col min="6920" max="6920" width="2.25" style="568" bestFit="1" customWidth="1"/>
    <col min="6921" max="6921" width="4.375" style="568" bestFit="1" customWidth="1"/>
    <col min="6922" max="6922" width="8.375" style="568" bestFit="1" customWidth="1"/>
    <col min="6923" max="6925" width="8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5" width="7.625" style="568" bestFit="1" customWidth="1"/>
    <col min="7176" max="7176" width="2.25" style="568" bestFit="1" customWidth="1"/>
    <col min="7177" max="7177" width="4.375" style="568" bestFit="1" customWidth="1"/>
    <col min="7178" max="7178" width="8.375" style="568" bestFit="1" customWidth="1"/>
    <col min="7179" max="7181" width="8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1" width="7.625" style="568" bestFit="1" customWidth="1"/>
    <col min="7432" max="7432" width="2.25" style="568" bestFit="1" customWidth="1"/>
    <col min="7433" max="7433" width="4.375" style="568" bestFit="1" customWidth="1"/>
    <col min="7434" max="7434" width="8.375" style="568" bestFit="1" customWidth="1"/>
    <col min="7435" max="7437" width="8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7" width="7.625" style="568" bestFit="1" customWidth="1"/>
    <col min="7688" max="7688" width="2.25" style="568" bestFit="1" customWidth="1"/>
    <col min="7689" max="7689" width="4.375" style="568" bestFit="1" customWidth="1"/>
    <col min="7690" max="7690" width="8.375" style="568" bestFit="1" customWidth="1"/>
    <col min="7691" max="7693" width="8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3" width="7.625" style="568" bestFit="1" customWidth="1"/>
    <col min="7944" max="7944" width="2.25" style="568" bestFit="1" customWidth="1"/>
    <col min="7945" max="7945" width="4.375" style="568" bestFit="1" customWidth="1"/>
    <col min="7946" max="7946" width="8.375" style="568" bestFit="1" customWidth="1"/>
    <col min="7947" max="7949" width="8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199" width="7.625" style="568" bestFit="1" customWidth="1"/>
    <col min="8200" max="8200" width="2.25" style="568" bestFit="1" customWidth="1"/>
    <col min="8201" max="8201" width="4.375" style="568" bestFit="1" customWidth="1"/>
    <col min="8202" max="8202" width="8.375" style="568" bestFit="1" customWidth="1"/>
    <col min="8203" max="8205" width="8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5" width="7.625" style="568" bestFit="1" customWidth="1"/>
    <col min="8456" max="8456" width="2.25" style="568" bestFit="1" customWidth="1"/>
    <col min="8457" max="8457" width="4.375" style="568" bestFit="1" customWidth="1"/>
    <col min="8458" max="8458" width="8.375" style="568" bestFit="1" customWidth="1"/>
    <col min="8459" max="8461" width="8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1" width="7.625" style="568" bestFit="1" customWidth="1"/>
    <col min="8712" max="8712" width="2.25" style="568" bestFit="1" customWidth="1"/>
    <col min="8713" max="8713" width="4.375" style="568" bestFit="1" customWidth="1"/>
    <col min="8714" max="8714" width="8.375" style="568" bestFit="1" customWidth="1"/>
    <col min="8715" max="8717" width="8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7" width="7.625" style="568" bestFit="1" customWidth="1"/>
    <col min="8968" max="8968" width="2.25" style="568" bestFit="1" customWidth="1"/>
    <col min="8969" max="8969" width="4.375" style="568" bestFit="1" customWidth="1"/>
    <col min="8970" max="8970" width="8.375" style="568" bestFit="1" customWidth="1"/>
    <col min="8971" max="8973" width="8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3" width="7.625" style="568" bestFit="1" customWidth="1"/>
    <col min="9224" max="9224" width="2.25" style="568" bestFit="1" customWidth="1"/>
    <col min="9225" max="9225" width="4.375" style="568" bestFit="1" customWidth="1"/>
    <col min="9226" max="9226" width="8.375" style="568" bestFit="1" customWidth="1"/>
    <col min="9227" max="9229" width="8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79" width="7.625" style="568" bestFit="1" customWidth="1"/>
    <col min="9480" max="9480" width="2.25" style="568" bestFit="1" customWidth="1"/>
    <col min="9481" max="9481" width="4.375" style="568" bestFit="1" customWidth="1"/>
    <col min="9482" max="9482" width="8.375" style="568" bestFit="1" customWidth="1"/>
    <col min="9483" max="9485" width="8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5" width="7.625" style="568" bestFit="1" customWidth="1"/>
    <col min="9736" max="9736" width="2.25" style="568" bestFit="1" customWidth="1"/>
    <col min="9737" max="9737" width="4.375" style="568" bestFit="1" customWidth="1"/>
    <col min="9738" max="9738" width="8.375" style="568" bestFit="1" customWidth="1"/>
    <col min="9739" max="9741" width="8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1" width="7.625" style="568" bestFit="1" customWidth="1"/>
    <col min="9992" max="9992" width="2.25" style="568" bestFit="1" customWidth="1"/>
    <col min="9993" max="9993" width="4.375" style="568" bestFit="1" customWidth="1"/>
    <col min="9994" max="9994" width="8.375" style="568" bestFit="1" customWidth="1"/>
    <col min="9995" max="9997" width="8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7" width="7.625" style="568" bestFit="1" customWidth="1"/>
    <col min="10248" max="10248" width="2.25" style="568" bestFit="1" customWidth="1"/>
    <col min="10249" max="10249" width="4.375" style="568" bestFit="1" customWidth="1"/>
    <col min="10250" max="10250" width="8.375" style="568" bestFit="1" customWidth="1"/>
    <col min="10251" max="10253" width="8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3" width="7.625" style="568" bestFit="1" customWidth="1"/>
    <col min="10504" max="10504" width="2.25" style="568" bestFit="1" customWidth="1"/>
    <col min="10505" max="10505" width="4.375" style="568" bestFit="1" customWidth="1"/>
    <col min="10506" max="10506" width="8.375" style="568" bestFit="1" customWidth="1"/>
    <col min="10507" max="10509" width="8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59" width="7.625" style="568" bestFit="1" customWidth="1"/>
    <col min="10760" max="10760" width="2.25" style="568" bestFit="1" customWidth="1"/>
    <col min="10761" max="10761" width="4.375" style="568" bestFit="1" customWidth="1"/>
    <col min="10762" max="10762" width="8.375" style="568" bestFit="1" customWidth="1"/>
    <col min="10763" max="10765" width="8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5" width="7.625" style="568" bestFit="1" customWidth="1"/>
    <col min="11016" max="11016" width="2.25" style="568" bestFit="1" customWidth="1"/>
    <col min="11017" max="11017" width="4.375" style="568" bestFit="1" customWidth="1"/>
    <col min="11018" max="11018" width="8.375" style="568" bestFit="1" customWidth="1"/>
    <col min="11019" max="11021" width="8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1" width="7.625" style="568" bestFit="1" customWidth="1"/>
    <col min="11272" max="11272" width="2.25" style="568" bestFit="1" customWidth="1"/>
    <col min="11273" max="11273" width="4.375" style="568" bestFit="1" customWidth="1"/>
    <col min="11274" max="11274" width="8.375" style="568" bestFit="1" customWidth="1"/>
    <col min="11275" max="11277" width="8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7" width="7.625" style="568" bestFit="1" customWidth="1"/>
    <col min="11528" max="11528" width="2.25" style="568" bestFit="1" customWidth="1"/>
    <col min="11529" max="11529" width="4.375" style="568" bestFit="1" customWidth="1"/>
    <col min="11530" max="11530" width="8.375" style="568" bestFit="1" customWidth="1"/>
    <col min="11531" max="11533" width="8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3" width="7.625" style="568" bestFit="1" customWidth="1"/>
    <col min="11784" max="11784" width="2.25" style="568" bestFit="1" customWidth="1"/>
    <col min="11785" max="11785" width="4.375" style="568" bestFit="1" customWidth="1"/>
    <col min="11786" max="11786" width="8.375" style="568" bestFit="1" customWidth="1"/>
    <col min="11787" max="11789" width="8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39" width="7.625" style="568" bestFit="1" customWidth="1"/>
    <col min="12040" max="12040" width="2.25" style="568" bestFit="1" customWidth="1"/>
    <col min="12041" max="12041" width="4.375" style="568" bestFit="1" customWidth="1"/>
    <col min="12042" max="12042" width="8.375" style="568" bestFit="1" customWidth="1"/>
    <col min="12043" max="12045" width="8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5" width="7.625" style="568" bestFit="1" customWidth="1"/>
    <col min="12296" max="12296" width="2.25" style="568" bestFit="1" customWidth="1"/>
    <col min="12297" max="12297" width="4.375" style="568" bestFit="1" customWidth="1"/>
    <col min="12298" max="12298" width="8.375" style="568" bestFit="1" customWidth="1"/>
    <col min="12299" max="12301" width="8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1" width="7.625" style="568" bestFit="1" customWidth="1"/>
    <col min="12552" max="12552" width="2.25" style="568" bestFit="1" customWidth="1"/>
    <col min="12553" max="12553" width="4.375" style="568" bestFit="1" customWidth="1"/>
    <col min="12554" max="12554" width="8.375" style="568" bestFit="1" customWidth="1"/>
    <col min="12555" max="12557" width="8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7" width="7.625" style="568" bestFit="1" customWidth="1"/>
    <col min="12808" max="12808" width="2.25" style="568" bestFit="1" customWidth="1"/>
    <col min="12809" max="12809" width="4.375" style="568" bestFit="1" customWidth="1"/>
    <col min="12810" max="12810" width="8.375" style="568" bestFit="1" customWidth="1"/>
    <col min="12811" max="12813" width="8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3" width="7.625" style="568" bestFit="1" customWidth="1"/>
    <col min="13064" max="13064" width="2.25" style="568" bestFit="1" customWidth="1"/>
    <col min="13065" max="13065" width="4.375" style="568" bestFit="1" customWidth="1"/>
    <col min="13066" max="13066" width="8.375" style="568" bestFit="1" customWidth="1"/>
    <col min="13067" max="13069" width="8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19" width="7.625" style="568" bestFit="1" customWidth="1"/>
    <col min="13320" max="13320" width="2.25" style="568" bestFit="1" customWidth="1"/>
    <col min="13321" max="13321" width="4.375" style="568" bestFit="1" customWidth="1"/>
    <col min="13322" max="13322" width="8.375" style="568" bestFit="1" customWidth="1"/>
    <col min="13323" max="13325" width="8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5" width="7.625" style="568" bestFit="1" customWidth="1"/>
    <col min="13576" max="13576" width="2.25" style="568" bestFit="1" customWidth="1"/>
    <col min="13577" max="13577" width="4.375" style="568" bestFit="1" customWidth="1"/>
    <col min="13578" max="13578" width="8.375" style="568" bestFit="1" customWidth="1"/>
    <col min="13579" max="13581" width="8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1" width="7.625" style="568" bestFit="1" customWidth="1"/>
    <col min="13832" max="13832" width="2.25" style="568" bestFit="1" customWidth="1"/>
    <col min="13833" max="13833" width="4.375" style="568" bestFit="1" customWidth="1"/>
    <col min="13834" max="13834" width="8.375" style="568" bestFit="1" customWidth="1"/>
    <col min="13835" max="13837" width="8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7" width="7.625" style="568" bestFit="1" customWidth="1"/>
    <col min="14088" max="14088" width="2.25" style="568" bestFit="1" customWidth="1"/>
    <col min="14089" max="14089" width="4.375" style="568" bestFit="1" customWidth="1"/>
    <col min="14090" max="14090" width="8.375" style="568" bestFit="1" customWidth="1"/>
    <col min="14091" max="14093" width="8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3" width="7.625" style="568" bestFit="1" customWidth="1"/>
    <col min="14344" max="14344" width="2.25" style="568" bestFit="1" customWidth="1"/>
    <col min="14345" max="14345" width="4.375" style="568" bestFit="1" customWidth="1"/>
    <col min="14346" max="14346" width="8.375" style="568" bestFit="1" customWidth="1"/>
    <col min="14347" max="14349" width="8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599" width="7.625" style="568" bestFit="1" customWidth="1"/>
    <col min="14600" max="14600" width="2.25" style="568" bestFit="1" customWidth="1"/>
    <col min="14601" max="14601" width="4.375" style="568" bestFit="1" customWidth="1"/>
    <col min="14602" max="14602" width="8.375" style="568" bestFit="1" customWidth="1"/>
    <col min="14603" max="14605" width="8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5" width="7.625" style="568" bestFit="1" customWidth="1"/>
    <col min="14856" max="14856" width="2.25" style="568" bestFit="1" customWidth="1"/>
    <col min="14857" max="14857" width="4.375" style="568" bestFit="1" customWidth="1"/>
    <col min="14858" max="14858" width="8.375" style="568" bestFit="1" customWidth="1"/>
    <col min="14859" max="14861" width="8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1" width="7.625" style="568" bestFit="1" customWidth="1"/>
    <col min="15112" max="15112" width="2.25" style="568" bestFit="1" customWidth="1"/>
    <col min="15113" max="15113" width="4.375" style="568" bestFit="1" customWidth="1"/>
    <col min="15114" max="15114" width="8.375" style="568" bestFit="1" customWidth="1"/>
    <col min="15115" max="15117" width="8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7" width="7.625" style="568" bestFit="1" customWidth="1"/>
    <col min="15368" max="15368" width="2.25" style="568" bestFit="1" customWidth="1"/>
    <col min="15369" max="15369" width="4.375" style="568" bestFit="1" customWidth="1"/>
    <col min="15370" max="15370" width="8.375" style="568" bestFit="1" customWidth="1"/>
    <col min="15371" max="15373" width="8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3" width="7.625" style="568" bestFit="1" customWidth="1"/>
    <col min="15624" max="15624" width="2.25" style="568" bestFit="1" customWidth="1"/>
    <col min="15625" max="15625" width="4.375" style="568" bestFit="1" customWidth="1"/>
    <col min="15626" max="15626" width="8.375" style="568" bestFit="1" customWidth="1"/>
    <col min="15627" max="15629" width="8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79" width="7.625" style="568" bestFit="1" customWidth="1"/>
    <col min="15880" max="15880" width="2.25" style="568" bestFit="1" customWidth="1"/>
    <col min="15881" max="15881" width="4.375" style="568" bestFit="1" customWidth="1"/>
    <col min="15882" max="15882" width="8.375" style="568" bestFit="1" customWidth="1"/>
    <col min="15883" max="15885" width="8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5" width="7.625" style="568" bestFit="1" customWidth="1"/>
    <col min="16136" max="16136" width="2.25" style="568" bestFit="1" customWidth="1"/>
    <col min="16137" max="16137" width="4.375" style="568" bestFit="1" customWidth="1"/>
    <col min="16138" max="16138" width="8.375" style="568" bestFit="1" customWidth="1"/>
    <col min="16139" max="16141" width="8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832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401</v>
      </c>
      <c r="J9" s="567" t="s">
        <v>327</v>
      </c>
      <c r="K9" s="567" t="s">
        <v>1002</v>
      </c>
      <c r="L9" s="567" t="s">
        <v>1003</v>
      </c>
      <c r="M9" s="567" t="s">
        <v>1004</v>
      </c>
      <c r="N9" s="567" t="s">
        <v>1011</v>
      </c>
      <c r="O9" s="567" t="s">
        <v>1012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3.0555555555555555E-2</v>
      </c>
      <c r="E10" s="567">
        <v>21120</v>
      </c>
      <c r="F10" s="567" t="s">
        <v>1001</v>
      </c>
      <c r="G10" s="567" t="s">
        <v>326</v>
      </c>
      <c r="H10" s="567">
        <v>0</v>
      </c>
      <c r="I10" s="567">
        <v>401</v>
      </c>
      <c r="J10" s="567" t="s">
        <v>327</v>
      </c>
      <c r="K10" s="567" t="s">
        <v>1002</v>
      </c>
      <c r="L10" s="567" t="s">
        <v>1003</v>
      </c>
      <c r="M10" s="567" t="s">
        <v>1004</v>
      </c>
      <c r="N10" s="567" t="s">
        <v>1011</v>
      </c>
      <c r="O10" s="567" t="s">
        <v>1012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3.0555555555555555E-2</v>
      </c>
      <c r="E11" s="567">
        <v>0</v>
      </c>
      <c r="F11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7"/>
  <sheetViews>
    <sheetView workbookViewId="0"/>
  </sheetViews>
  <sheetFormatPr defaultColWidth="9"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7" width="7.625" style="568" bestFit="1" customWidth="1"/>
    <col min="8" max="8" width="2.25" style="568" bestFit="1" customWidth="1"/>
    <col min="9" max="9" width="3.375" style="568" bestFit="1" customWidth="1"/>
    <col min="10" max="10" width="8.375" style="568" bestFit="1" customWidth="1"/>
    <col min="11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16384" width="9" style="568"/>
  </cols>
  <sheetData>
    <row r="2" spans="1:18" ht="15" x14ac:dyDescent="0.2">
      <c r="A2" s="570"/>
      <c r="B2" s="570" t="s">
        <v>320</v>
      </c>
      <c r="C2" s="570">
        <v>834</v>
      </c>
    </row>
    <row r="7" spans="1:18" ht="15" x14ac:dyDescent="0.2">
      <c r="A7" s="570"/>
      <c r="B7" s="570"/>
      <c r="C7" s="570"/>
      <c r="D7" s="570" t="s">
        <v>321</v>
      </c>
      <c r="E7" s="570" t="s">
        <v>322</v>
      </c>
      <c r="F7" s="570" t="s">
        <v>323</v>
      </c>
    </row>
    <row r="9" spans="1:18" ht="15" x14ac:dyDescent="0.2">
      <c r="A9" s="570"/>
      <c r="B9" s="570"/>
      <c r="C9" s="570"/>
      <c r="D9" s="571">
        <v>0</v>
      </c>
      <c r="E9" s="570">
        <v>0</v>
      </c>
      <c r="F9" s="570" t="s">
        <v>1001</v>
      </c>
      <c r="G9" s="570" t="s">
        <v>326</v>
      </c>
      <c r="H9" s="570">
        <v>0</v>
      </c>
      <c r="I9" s="570">
        <v>39</v>
      </c>
      <c r="J9" s="570" t="s">
        <v>327</v>
      </c>
      <c r="K9" s="570" t="s">
        <v>1002</v>
      </c>
      <c r="L9" s="570" t="s">
        <v>1003</v>
      </c>
      <c r="M9" s="570" t="s">
        <v>1004</v>
      </c>
      <c r="N9" s="570" t="s">
        <v>1011</v>
      </c>
      <c r="O9" s="570" t="s">
        <v>1012</v>
      </c>
      <c r="P9" s="570" t="s">
        <v>1009</v>
      </c>
      <c r="Q9" s="570" t="s">
        <v>1008</v>
      </c>
      <c r="R9" s="570">
        <v>80</v>
      </c>
    </row>
    <row r="10" spans="1:18" ht="15" x14ac:dyDescent="0.2">
      <c r="A10" s="570"/>
      <c r="B10" s="570"/>
      <c r="C10" s="570"/>
      <c r="D10" s="571">
        <v>6.9444444444444447E-4</v>
      </c>
      <c r="E10" s="570">
        <v>480</v>
      </c>
      <c r="F10" s="570" t="s">
        <v>1001</v>
      </c>
      <c r="G10" s="570" t="s">
        <v>326</v>
      </c>
      <c r="H10" s="570">
        <v>0</v>
      </c>
      <c r="I10" s="570">
        <v>39</v>
      </c>
      <c r="J10" s="570" t="s">
        <v>327</v>
      </c>
      <c r="K10" s="570" t="s">
        <v>1002</v>
      </c>
      <c r="L10" s="570" t="s">
        <v>1003</v>
      </c>
      <c r="M10" s="570" t="s">
        <v>1004</v>
      </c>
      <c r="N10" s="570" t="s">
        <v>1011</v>
      </c>
      <c r="O10" s="570" t="s">
        <v>1012</v>
      </c>
      <c r="P10" s="570" t="s">
        <v>1007</v>
      </c>
      <c r="Q10" s="570" t="s">
        <v>1008</v>
      </c>
      <c r="R10" s="570">
        <v>80</v>
      </c>
    </row>
    <row r="11" spans="1:18" ht="15" x14ac:dyDescent="0.2">
      <c r="A11" s="570"/>
      <c r="B11" s="570"/>
      <c r="C11" s="570"/>
      <c r="D11" s="571">
        <v>2.8472222222222222E-2</v>
      </c>
      <c r="E11" s="570">
        <v>19200</v>
      </c>
      <c r="F11" s="570" t="s">
        <v>1001</v>
      </c>
      <c r="G11" s="570" t="s">
        <v>326</v>
      </c>
      <c r="H11" s="570">
        <v>0</v>
      </c>
      <c r="I11" s="570">
        <v>39</v>
      </c>
      <c r="J11" s="570" t="s">
        <v>327</v>
      </c>
      <c r="K11" s="570" t="s">
        <v>1002</v>
      </c>
      <c r="L11" s="570" t="s">
        <v>1003</v>
      </c>
      <c r="M11" s="570" t="s">
        <v>1004</v>
      </c>
      <c r="N11" s="570" t="s">
        <v>1011</v>
      </c>
      <c r="O11" s="570" t="s">
        <v>1012</v>
      </c>
      <c r="P11" s="570" t="s">
        <v>1009</v>
      </c>
      <c r="Q11" s="570" t="s">
        <v>1008</v>
      </c>
      <c r="R11" s="570">
        <v>80</v>
      </c>
    </row>
    <row r="12" spans="1:18" ht="15" x14ac:dyDescent="0.2">
      <c r="A12" s="570"/>
      <c r="B12" s="570"/>
      <c r="C12" s="570"/>
      <c r="D12" s="571">
        <v>2.9861111111111113E-2</v>
      </c>
      <c r="E12" s="570">
        <v>960</v>
      </c>
      <c r="F12" s="570" t="s">
        <v>1001</v>
      </c>
      <c r="G12" s="570" t="s">
        <v>326</v>
      </c>
      <c r="H12" s="570">
        <v>0</v>
      </c>
      <c r="I12" s="570">
        <v>39</v>
      </c>
      <c r="J12" s="570" t="s">
        <v>327</v>
      </c>
      <c r="K12" s="570" t="s">
        <v>1002</v>
      </c>
      <c r="L12" s="570" t="s">
        <v>1003</v>
      </c>
      <c r="M12" s="570" t="s">
        <v>1004</v>
      </c>
      <c r="N12" s="570" t="s">
        <v>1011</v>
      </c>
      <c r="O12" s="570" t="s">
        <v>1012</v>
      </c>
      <c r="P12" s="570" t="s">
        <v>1007</v>
      </c>
      <c r="Q12" s="570" t="s">
        <v>1008</v>
      </c>
      <c r="R12" s="570">
        <v>80</v>
      </c>
    </row>
    <row r="13" spans="1:18" ht="15" x14ac:dyDescent="0.2">
      <c r="A13" s="570"/>
      <c r="B13" s="570"/>
      <c r="C13" s="570"/>
      <c r="D13" s="571">
        <v>0.13761574074074076</v>
      </c>
      <c r="E13" s="570">
        <v>74480</v>
      </c>
      <c r="F13" s="570" t="s">
        <v>1001</v>
      </c>
      <c r="G13" s="570" t="s">
        <v>326</v>
      </c>
      <c r="H13" s="570">
        <v>0</v>
      </c>
      <c r="I13" s="570">
        <v>39</v>
      </c>
      <c r="J13" s="570" t="s">
        <v>327</v>
      </c>
      <c r="K13" s="570" t="s">
        <v>1002</v>
      </c>
      <c r="L13" s="570" t="s">
        <v>1003</v>
      </c>
      <c r="M13" s="570" t="s">
        <v>1004</v>
      </c>
      <c r="N13" s="570" t="s">
        <v>1011</v>
      </c>
      <c r="O13" s="570" t="s">
        <v>1012</v>
      </c>
      <c r="P13" s="570" t="s">
        <v>1009</v>
      </c>
      <c r="Q13" s="570" t="s">
        <v>1008</v>
      </c>
      <c r="R13" s="570">
        <v>80</v>
      </c>
    </row>
    <row r="14" spans="1:18" ht="15" x14ac:dyDescent="0.2">
      <c r="A14" s="570"/>
      <c r="B14" s="570"/>
      <c r="C14" s="570"/>
      <c r="D14" s="571">
        <v>0.13912037037037037</v>
      </c>
      <c r="E14" s="570">
        <v>1040</v>
      </c>
      <c r="F14" s="570" t="s">
        <v>1001</v>
      </c>
      <c r="G14" s="570" t="s">
        <v>326</v>
      </c>
      <c r="H14" s="570">
        <v>0</v>
      </c>
      <c r="I14" s="570">
        <v>39</v>
      </c>
      <c r="J14" s="570" t="s">
        <v>327</v>
      </c>
      <c r="K14" s="570" t="s">
        <v>1002</v>
      </c>
      <c r="L14" s="570" t="s">
        <v>1003</v>
      </c>
      <c r="M14" s="570" t="s">
        <v>1004</v>
      </c>
      <c r="N14" s="570" t="s">
        <v>1011</v>
      </c>
      <c r="O14" s="570" t="s">
        <v>1012</v>
      </c>
      <c r="P14" s="570" t="s">
        <v>1007</v>
      </c>
      <c r="Q14" s="570" t="s">
        <v>1008</v>
      </c>
      <c r="R14" s="570">
        <v>80</v>
      </c>
    </row>
    <row r="15" spans="1:18" ht="15" x14ac:dyDescent="0.2">
      <c r="A15" s="570"/>
      <c r="B15" s="570"/>
      <c r="C15" s="570"/>
      <c r="D15" s="571">
        <v>0.21527777777777779</v>
      </c>
      <c r="E15" s="570">
        <v>52640</v>
      </c>
      <c r="F15" s="570" t="s">
        <v>1001</v>
      </c>
      <c r="G15" s="570" t="s">
        <v>326</v>
      </c>
      <c r="H15" s="570">
        <v>0</v>
      </c>
      <c r="I15" s="570">
        <v>39</v>
      </c>
      <c r="J15" s="570" t="s">
        <v>327</v>
      </c>
      <c r="K15" s="570" t="s">
        <v>1002</v>
      </c>
      <c r="L15" s="570" t="s">
        <v>1003</v>
      </c>
      <c r="M15" s="570" t="s">
        <v>1004</v>
      </c>
      <c r="N15" s="570" t="s">
        <v>1011</v>
      </c>
      <c r="O15" s="570" t="s">
        <v>1012</v>
      </c>
      <c r="P15" s="570" t="s">
        <v>1009</v>
      </c>
      <c r="Q15" s="570" t="s">
        <v>1008</v>
      </c>
      <c r="R15" s="570">
        <v>80</v>
      </c>
    </row>
    <row r="16" spans="1:18" ht="15" x14ac:dyDescent="0.2">
      <c r="A16" s="570"/>
      <c r="B16" s="570"/>
      <c r="C16" s="570"/>
      <c r="D16" s="571">
        <v>0.22222222222222221</v>
      </c>
      <c r="E16" s="570">
        <v>4800</v>
      </c>
      <c r="F16" s="570" t="s">
        <v>1001</v>
      </c>
      <c r="G16" s="570" t="s">
        <v>326</v>
      </c>
      <c r="H16" s="570">
        <v>0</v>
      </c>
      <c r="I16" s="570">
        <v>39</v>
      </c>
      <c r="J16" s="570" t="s">
        <v>327</v>
      </c>
      <c r="K16" s="570" t="s">
        <v>1002</v>
      </c>
      <c r="L16" s="570" t="s">
        <v>1003</v>
      </c>
      <c r="M16" s="570" t="s">
        <v>1004</v>
      </c>
      <c r="N16" s="570" t="s">
        <v>1011</v>
      </c>
      <c r="O16" s="570" t="s">
        <v>1012</v>
      </c>
      <c r="P16" s="570" t="s">
        <v>1007</v>
      </c>
      <c r="Q16" s="570" t="s">
        <v>1008</v>
      </c>
      <c r="R16" s="570">
        <v>80</v>
      </c>
    </row>
    <row r="17" spans="1:6" ht="15" x14ac:dyDescent="0.2">
      <c r="A17" s="570"/>
      <c r="B17" s="570"/>
      <c r="C17" s="570"/>
      <c r="D17" s="571">
        <v>0.22222222222222221</v>
      </c>
      <c r="E17" s="570">
        <v>0</v>
      </c>
      <c r="F17" s="570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3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7" width="7.625" style="568" bestFit="1" customWidth="1"/>
    <col min="8" max="8" width="2.25" style="568" bestFit="1" customWidth="1"/>
    <col min="9" max="9" width="4.375" style="568" bestFit="1" customWidth="1"/>
    <col min="10" max="10" width="8.375" style="568" bestFit="1" customWidth="1"/>
    <col min="11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3" width="7.625" style="568" bestFit="1" customWidth="1"/>
    <col min="264" max="264" width="2.25" style="568" bestFit="1" customWidth="1"/>
    <col min="265" max="265" width="4.375" style="568" bestFit="1" customWidth="1"/>
    <col min="266" max="266" width="8.375" style="568" bestFit="1" customWidth="1"/>
    <col min="267" max="269" width="8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19" width="7.625" style="568" bestFit="1" customWidth="1"/>
    <col min="520" max="520" width="2.25" style="568" bestFit="1" customWidth="1"/>
    <col min="521" max="521" width="4.375" style="568" bestFit="1" customWidth="1"/>
    <col min="522" max="522" width="8.375" style="568" bestFit="1" customWidth="1"/>
    <col min="523" max="525" width="8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5" width="7.625" style="568" bestFit="1" customWidth="1"/>
    <col min="776" max="776" width="2.25" style="568" bestFit="1" customWidth="1"/>
    <col min="777" max="777" width="4.375" style="568" bestFit="1" customWidth="1"/>
    <col min="778" max="778" width="8.375" style="568" bestFit="1" customWidth="1"/>
    <col min="779" max="781" width="8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1" width="7.625" style="568" bestFit="1" customWidth="1"/>
    <col min="1032" max="1032" width="2.25" style="568" bestFit="1" customWidth="1"/>
    <col min="1033" max="1033" width="4.375" style="568" bestFit="1" customWidth="1"/>
    <col min="1034" max="1034" width="8.375" style="568" bestFit="1" customWidth="1"/>
    <col min="1035" max="1037" width="8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7" width="7.625" style="568" bestFit="1" customWidth="1"/>
    <col min="1288" max="1288" width="2.25" style="568" bestFit="1" customWidth="1"/>
    <col min="1289" max="1289" width="4.375" style="568" bestFit="1" customWidth="1"/>
    <col min="1290" max="1290" width="8.375" style="568" bestFit="1" customWidth="1"/>
    <col min="1291" max="1293" width="8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3" width="7.625" style="568" bestFit="1" customWidth="1"/>
    <col min="1544" max="1544" width="2.25" style="568" bestFit="1" customWidth="1"/>
    <col min="1545" max="1545" width="4.375" style="568" bestFit="1" customWidth="1"/>
    <col min="1546" max="1546" width="8.375" style="568" bestFit="1" customWidth="1"/>
    <col min="1547" max="1549" width="8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799" width="7.625" style="568" bestFit="1" customWidth="1"/>
    <col min="1800" max="1800" width="2.25" style="568" bestFit="1" customWidth="1"/>
    <col min="1801" max="1801" width="4.375" style="568" bestFit="1" customWidth="1"/>
    <col min="1802" max="1802" width="8.375" style="568" bestFit="1" customWidth="1"/>
    <col min="1803" max="1805" width="8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5" width="7.625" style="568" bestFit="1" customWidth="1"/>
    <col min="2056" max="2056" width="2.25" style="568" bestFit="1" customWidth="1"/>
    <col min="2057" max="2057" width="4.375" style="568" bestFit="1" customWidth="1"/>
    <col min="2058" max="2058" width="8.375" style="568" bestFit="1" customWidth="1"/>
    <col min="2059" max="2061" width="8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1" width="7.625" style="568" bestFit="1" customWidth="1"/>
    <col min="2312" max="2312" width="2.25" style="568" bestFit="1" customWidth="1"/>
    <col min="2313" max="2313" width="4.375" style="568" bestFit="1" customWidth="1"/>
    <col min="2314" max="2314" width="8.375" style="568" bestFit="1" customWidth="1"/>
    <col min="2315" max="2317" width="8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7" width="7.625" style="568" bestFit="1" customWidth="1"/>
    <col min="2568" max="2568" width="2.25" style="568" bestFit="1" customWidth="1"/>
    <col min="2569" max="2569" width="4.375" style="568" bestFit="1" customWidth="1"/>
    <col min="2570" max="2570" width="8.375" style="568" bestFit="1" customWidth="1"/>
    <col min="2571" max="2573" width="8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3" width="7.625" style="568" bestFit="1" customWidth="1"/>
    <col min="2824" max="2824" width="2.25" style="568" bestFit="1" customWidth="1"/>
    <col min="2825" max="2825" width="4.375" style="568" bestFit="1" customWidth="1"/>
    <col min="2826" max="2826" width="8.375" style="568" bestFit="1" customWidth="1"/>
    <col min="2827" max="2829" width="8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79" width="7.625" style="568" bestFit="1" customWidth="1"/>
    <col min="3080" max="3080" width="2.25" style="568" bestFit="1" customWidth="1"/>
    <col min="3081" max="3081" width="4.375" style="568" bestFit="1" customWidth="1"/>
    <col min="3082" max="3082" width="8.375" style="568" bestFit="1" customWidth="1"/>
    <col min="3083" max="3085" width="8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5" width="7.625" style="568" bestFit="1" customWidth="1"/>
    <col min="3336" max="3336" width="2.25" style="568" bestFit="1" customWidth="1"/>
    <col min="3337" max="3337" width="4.375" style="568" bestFit="1" customWidth="1"/>
    <col min="3338" max="3338" width="8.375" style="568" bestFit="1" customWidth="1"/>
    <col min="3339" max="3341" width="8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1" width="7.625" style="568" bestFit="1" customWidth="1"/>
    <col min="3592" max="3592" width="2.25" style="568" bestFit="1" customWidth="1"/>
    <col min="3593" max="3593" width="4.375" style="568" bestFit="1" customWidth="1"/>
    <col min="3594" max="3594" width="8.375" style="568" bestFit="1" customWidth="1"/>
    <col min="3595" max="3597" width="8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7" width="7.625" style="568" bestFit="1" customWidth="1"/>
    <col min="3848" max="3848" width="2.25" style="568" bestFit="1" customWidth="1"/>
    <col min="3849" max="3849" width="4.375" style="568" bestFit="1" customWidth="1"/>
    <col min="3850" max="3850" width="8.375" style="568" bestFit="1" customWidth="1"/>
    <col min="3851" max="3853" width="8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3" width="7.625" style="568" bestFit="1" customWidth="1"/>
    <col min="4104" max="4104" width="2.25" style="568" bestFit="1" customWidth="1"/>
    <col min="4105" max="4105" width="4.375" style="568" bestFit="1" customWidth="1"/>
    <col min="4106" max="4106" width="8.375" style="568" bestFit="1" customWidth="1"/>
    <col min="4107" max="4109" width="8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59" width="7.625" style="568" bestFit="1" customWidth="1"/>
    <col min="4360" max="4360" width="2.25" style="568" bestFit="1" customWidth="1"/>
    <col min="4361" max="4361" width="4.375" style="568" bestFit="1" customWidth="1"/>
    <col min="4362" max="4362" width="8.375" style="568" bestFit="1" customWidth="1"/>
    <col min="4363" max="4365" width="8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5" width="7.625" style="568" bestFit="1" customWidth="1"/>
    <col min="4616" max="4616" width="2.25" style="568" bestFit="1" customWidth="1"/>
    <col min="4617" max="4617" width="4.375" style="568" bestFit="1" customWidth="1"/>
    <col min="4618" max="4618" width="8.375" style="568" bestFit="1" customWidth="1"/>
    <col min="4619" max="4621" width="8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1" width="7.625" style="568" bestFit="1" customWidth="1"/>
    <col min="4872" max="4872" width="2.25" style="568" bestFit="1" customWidth="1"/>
    <col min="4873" max="4873" width="4.375" style="568" bestFit="1" customWidth="1"/>
    <col min="4874" max="4874" width="8.375" style="568" bestFit="1" customWidth="1"/>
    <col min="4875" max="4877" width="8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7" width="7.625" style="568" bestFit="1" customWidth="1"/>
    <col min="5128" max="5128" width="2.25" style="568" bestFit="1" customWidth="1"/>
    <col min="5129" max="5129" width="4.375" style="568" bestFit="1" customWidth="1"/>
    <col min="5130" max="5130" width="8.375" style="568" bestFit="1" customWidth="1"/>
    <col min="5131" max="5133" width="8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3" width="7.625" style="568" bestFit="1" customWidth="1"/>
    <col min="5384" max="5384" width="2.25" style="568" bestFit="1" customWidth="1"/>
    <col min="5385" max="5385" width="4.375" style="568" bestFit="1" customWidth="1"/>
    <col min="5386" max="5386" width="8.375" style="568" bestFit="1" customWidth="1"/>
    <col min="5387" max="5389" width="8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39" width="7.625" style="568" bestFit="1" customWidth="1"/>
    <col min="5640" max="5640" width="2.25" style="568" bestFit="1" customWidth="1"/>
    <col min="5641" max="5641" width="4.375" style="568" bestFit="1" customWidth="1"/>
    <col min="5642" max="5642" width="8.375" style="568" bestFit="1" customWidth="1"/>
    <col min="5643" max="5645" width="8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5" width="7.625" style="568" bestFit="1" customWidth="1"/>
    <col min="5896" max="5896" width="2.25" style="568" bestFit="1" customWidth="1"/>
    <col min="5897" max="5897" width="4.375" style="568" bestFit="1" customWidth="1"/>
    <col min="5898" max="5898" width="8.375" style="568" bestFit="1" customWidth="1"/>
    <col min="5899" max="5901" width="8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1" width="7.625" style="568" bestFit="1" customWidth="1"/>
    <col min="6152" max="6152" width="2.25" style="568" bestFit="1" customWidth="1"/>
    <col min="6153" max="6153" width="4.375" style="568" bestFit="1" customWidth="1"/>
    <col min="6154" max="6154" width="8.375" style="568" bestFit="1" customWidth="1"/>
    <col min="6155" max="6157" width="8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7" width="7.625" style="568" bestFit="1" customWidth="1"/>
    <col min="6408" max="6408" width="2.25" style="568" bestFit="1" customWidth="1"/>
    <col min="6409" max="6409" width="4.375" style="568" bestFit="1" customWidth="1"/>
    <col min="6410" max="6410" width="8.375" style="568" bestFit="1" customWidth="1"/>
    <col min="6411" max="6413" width="8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3" width="7.625" style="568" bestFit="1" customWidth="1"/>
    <col min="6664" max="6664" width="2.25" style="568" bestFit="1" customWidth="1"/>
    <col min="6665" max="6665" width="4.375" style="568" bestFit="1" customWidth="1"/>
    <col min="6666" max="6666" width="8.375" style="568" bestFit="1" customWidth="1"/>
    <col min="6667" max="6669" width="8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19" width="7.625" style="568" bestFit="1" customWidth="1"/>
    <col min="6920" max="6920" width="2.25" style="568" bestFit="1" customWidth="1"/>
    <col min="6921" max="6921" width="4.375" style="568" bestFit="1" customWidth="1"/>
    <col min="6922" max="6922" width="8.375" style="568" bestFit="1" customWidth="1"/>
    <col min="6923" max="6925" width="8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5" width="7.625" style="568" bestFit="1" customWidth="1"/>
    <col min="7176" max="7176" width="2.25" style="568" bestFit="1" customWidth="1"/>
    <col min="7177" max="7177" width="4.375" style="568" bestFit="1" customWidth="1"/>
    <col min="7178" max="7178" width="8.375" style="568" bestFit="1" customWidth="1"/>
    <col min="7179" max="7181" width="8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1" width="7.625" style="568" bestFit="1" customWidth="1"/>
    <col min="7432" max="7432" width="2.25" style="568" bestFit="1" customWidth="1"/>
    <col min="7433" max="7433" width="4.375" style="568" bestFit="1" customWidth="1"/>
    <col min="7434" max="7434" width="8.375" style="568" bestFit="1" customWidth="1"/>
    <col min="7435" max="7437" width="8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7" width="7.625" style="568" bestFit="1" customWidth="1"/>
    <col min="7688" max="7688" width="2.25" style="568" bestFit="1" customWidth="1"/>
    <col min="7689" max="7689" width="4.375" style="568" bestFit="1" customWidth="1"/>
    <col min="7690" max="7690" width="8.375" style="568" bestFit="1" customWidth="1"/>
    <col min="7691" max="7693" width="8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3" width="7.625" style="568" bestFit="1" customWidth="1"/>
    <col min="7944" max="7944" width="2.25" style="568" bestFit="1" customWidth="1"/>
    <col min="7945" max="7945" width="4.375" style="568" bestFit="1" customWidth="1"/>
    <col min="7946" max="7946" width="8.375" style="568" bestFit="1" customWidth="1"/>
    <col min="7947" max="7949" width="8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199" width="7.625" style="568" bestFit="1" customWidth="1"/>
    <col min="8200" max="8200" width="2.25" style="568" bestFit="1" customWidth="1"/>
    <col min="8201" max="8201" width="4.375" style="568" bestFit="1" customWidth="1"/>
    <col min="8202" max="8202" width="8.375" style="568" bestFit="1" customWidth="1"/>
    <col min="8203" max="8205" width="8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5" width="7.625" style="568" bestFit="1" customWidth="1"/>
    <col min="8456" max="8456" width="2.25" style="568" bestFit="1" customWidth="1"/>
    <col min="8457" max="8457" width="4.375" style="568" bestFit="1" customWidth="1"/>
    <col min="8458" max="8458" width="8.375" style="568" bestFit="1" customWidth="1"/>
    <col min="8459" max="8461" width="8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1" width="7.625" style="568" bestFit="1" customWidth="1"/>
    <col min="8712" max="8712" width="2.25" style="568" bestFit="1" customWidth="1"/>
    <col min="8713" max="8713" width="4.375" style="568" bestFit="1" customWidth="1"/>
    <col min="8714" max="8714" width="8.375" style="568" bestFit="1" customWidth="1"/>
    <col min="8715" max="8717" width="8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7" width="7.625" style="568" bestFit="1" customWidth="1"/>
    <col min="8968" max="8968" width="2.25" style="568" bestFit="1" customWidth="1"/>
    <col min="8969" max="8969" width="4.375" style="568" bestFit="1" customWidth="1"/>
    <col min="8970" max="8970" width="8.375" style="568" bestFit="1" customWidth="1"/>
    <col min="8971" max="8973" width="8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3" width="7.625" style="568" bestFit="1" customWidth="1"/>
    <col min="9224" max="9224" width="2.25" style="568" bestFit="1" customWidth="1"/>
    <col min="9225" max="9225" width="4.375" style="568" bestFit="1" customWidth="1"/>
    <col min="9226" max="9226" width="8.375" style="568" bestFit="1" customWidth="1"/>
    <col min="9227" max="9229" width="8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79" width="7.625" style="568" bestFit="1" customWidth="1"/>
    <col min="9480" max="9480" width="2.25" style="568" bestFit="1" customWidth="1"/>
    <col min="9481" max="9481" width="4.375" style="568" bestFit="1" customWidth="1"/>
    <col min="9482" max="9482" width="8.375" style="568" bestFit="1" customWidth="1"/>
    <col min="9483" max="9485" width="8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5" width="7.625" style="568" bestFit="1" customWidth="1"/>
    <col min="9736" max="9736" width="2.25" style="568" bestFit="1" customWidth="1"/>
    <col min="9737" max="9737" width="4.375" style="568" bestFit="1" customWidth="1"/>
    <col min="9738" max="9738" width="8.375" style="568" bestFit="1" customWidth="1"/>
    <col min="9739" max="9741" width="8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1" width="7.625" style="568" bestFit="1" customWidth="1"/>
    <col min="9992" max="9992" width="2.25" style="568" bestFit="1" customWidth="1"/>
    <col min="9993" max="9993" width="4.375" style="568" bestFit="1" customWidth="1"/>
    <col min="9994" max="9994" width="8.375" style="568" bestFit="1" customWidth="1"/>
    <col min="9995" max="9997" width="8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7" width="7.625" style="568" bestFit="1" customWidth="1"/>
    <col min="10248" max="10248" width="2.25" style="568" bestFit="1" customWidth="1"/>
    <col min="10249" max="10249" width="4.375" style="568" bestFit="1" customWidth="1"/>
    <col min="10250" max="10250" width="8.375" style="568" bestFit="1" customWidth="1"/>
    <col min="10251" max="10253" width="8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3" width="7.625" style="568" bestFit="1" customWidth="1"/>
    <col min="10504" max="10504" width="2.25" style="568" bestFit="1" customWidth="1"/>
    <col min="10505" max="10505" width="4.375" style="568" bestFit="1" customWidth="1"/>
    <col min="10506" max="10506" width="8.375" style="568" bestFit="1" customWidth="1"/>
    <col min="10507" max="10509" width="8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59" width="7.625" style="568" bestFit="1" customWidth="1"/>
    <col min="10760" max="10760" width="2.25" style="568" bestFit="1" customWidth="1"/>
    <col min="10761" max="10761" width="4.375" style="568" bestFit="1" customWidth="1"/>
    <col min="10762" max="10762" width="8.375" style="568" bestFit="1" customWidth="1"/>
    <col min="10763" max="10765" width="8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5" width="7.625" style="568" bestFit="1" customWidth="1"/>
    <col min="11016" max="11016" width="2.25" style="568" bestFit="1" customWidth="1"/>
    <col min="11017" max="11017" width="4.375" style="568" bestFit="1" customWidth="1"/>
    <col min="11018" max="11018" width="8.375" style="568" bestFit="1" customWidth="1"/>
    <col min="11019" max="11021" width="8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1" width="7.625" style="568" bestFit="1" customWidth="1"/>
    <col min="11272" max="11272" width="2.25" style="568" bestFit="1" customWidth="1"/>
    <col min="11273" max="11273" width="4.375" style="568" bestFit="1" customWidth="1"/>
    <col min="11274" max="11274" width="8.375" style="568" bestFit="1" customWidth="1"/>
    <col min="11275" max="11277" width="8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7" width="7.625" style="568" bestFit="1" customWidth="1"/>
    <col min="11528" max="11528" width="2.25" style="568" bestFit="1" customWidth="1"/>
    <col min="11529" max="11529" width="4.375" style="568" bestFit="1" customWidth="1"/>
    <col min="11530" max="11530" width="8.375" style="568" bestFit="1" customWidth="1"/>
    <col min="11531" max="11533" width="8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3" width="7.625" style="568" bestFit="1" customWidth="1"/>
    <col min="11784" max="11784" width="2.25" style="568" bestFit="1" customWidth="1"/>
    <col min="11785" max="11785" width="4.375" style="568" bestFit="1" customWidth="1"/>
    <col min="11786" max="11786" width="8.375" style="568" bestFit="1" customWidth="1"/>
    <col min="11787" max="11789" width="8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39" width="7.625" style="568" bestFit="1" customWidth="1"/>
    <col min="12040" max="12040" width="2.25" style="568" bestFit="1" customWidth="1"/>
    <col min="12041" max="12041" width="4.375" style="568" bestFit="1" customWidth="1"/>
    <col min="12042" max="12042" width="8.375" style="568" bestFit="1" customWidth="1"/>
    <col min="12043" max="12045" width="8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5" width="7.625" style="568" bestFit="1" customWidth="1"/>
    <col min="12296" max="12296" width="2.25" style="568" bestFit="1" customWidth="1"/>
    <col min="12297" max="12297" width="4.375" style="568" bestFit="1" customWidth="1"/>
    <col min="12298" max="12298" width="8.375" style="568" bestFit="1" customWidth="1"/>
    <col min="12299" max="12301" width="8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1" width="7.625" style="568" bestFit="1" customWidth="1"/>
    <col min="12552" max="12552" width="2.25" style="568" bestFit="1" customWidth="1"/>
    <col min="12553" max="12553" width="4.375" style="568" bestFit="1" customWidth="1"/>
    <col min="12554" max="12554" width="8.375" style="568" bestFit="1" customWidth="1"/>
    <col min="12555" max="12557" width="8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7" width="7.625" style="568" bestFit="1" customWidth="1"/>
    <col min="12808" max="12808" width="2.25" style="568" bestFit="1" customWidth="1"/>
    <col min="12809" max="12809" width="4.375" style="568" bestFit="1" customWidth="1"/>
    <col min="12810" max="12810" width="8.375" style="568" bestFit="1" customWidth="1"/>
    <col min="12811" max="12813" width="8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3" width="7.625" style="568" bestFit="1" customWidth="1"/>
    <col min="13064" max="13064" width="2.25" style="568" bestFit="1" customWidth="1"/>
    <col min="13065" max="13065" width="4.375" style="568" bestFit="1" customWidth="1"/>
    <col min="13066" max="13066" width="8.375" style="568" bestFit="1" customWidth="1"/>
    <col min="13067" max="13069" width="8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19" width="7.625" style="568" bestFit="1" customWidth="1"/>
    <col min="13320" max="13320" width="2.25" style="568" bestFit="1" customWidth="1"/>
    <col min="13321" max="13321" width="4.375" style="568" bestFit="1" customWidth="1"/>
    <col min="13322" max="13322" width="8.375" style="568" bestFit="1" customWidth="1"/>
    <col min="13323" max="13325" width="8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5" width="7.625" style="568" bestFit="1" customWidth="1"/>
    <col min="13576" max="13576" width="2.25" style="568" bestFit="1" customWidth="1"/>
    <col min="13577" max="13577" width="4.375" style="568" bestFit="1" customWidth="1"/>
    <col min="13578" max="13578" width="8.375" style="568" bestFit="1" customWidth="1"/>
    <col min="13579" max="13581" width="8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1" width="7.625" style="568" bestFit="1" customWidth="1"/>
    <col min="13832" max="13832" width="2.25" style="568" bestFit="1" customWidth="1"/>
    <col min="13833" max="13833" width="4.375" style="568" bestFit="1" customWidth="1"/>
    <col min="13834" max="13834" width="8.375" style="568" bestFit="1" customWidth="1"/>
    <col min="13835" max="13837" width="8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7" width="7.625" style="568" bestFit="1" customWidth="1"/>
    <col min="14088" max="14088" width="2.25" style="568" bestFit="1" customWidth="1"/>
    <col min="14089" max="14089" width="4.375" style="568" bestFit="1" customWidth="1"/>
    <col min="14090" max="14090" width="8.375" style="568" bestFit="1" customWidth="1"/>
    <col min="14091" max="14093" width="8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3" width="7.625" style="568" bestFit="1" customWidth="1"/>
    <col min="14344" max="14344" width="2.25" style="568" bestFit="1" customWidth="1"/>
    <col min="14345" max="14345" width="4.375" style="568" bestFit="1" customWidth="1"/>
    <col min="14346" max="14346" width="8.375" style="568" bestFit="1" customWidth="1"/>
    <col min="14347" max="14349" width="8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599" width="7.625" style="568" bestFit="1" customWidth="1"/>
    <col min="14600" max="14600" width="2.25" style="568" bestFit="1" customWidth="1"/>
    <col min="14601" max="14601" width="4.375" style="568" bestFit="1" customWidth="1"/>
    <col min="14602" max="14602" width="8.375" style="568" bestFit="1" customWidth="1"/>
    <col min="14603" max="14605" width="8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5" width="7.625" style="568" bestFit="1" customWidth="1"/>
    <col min="14856" max="14856" width="2.25" style="568" bestFit="1" customWidth="1"/>
    <col min="14857" max="14857" width="4.375" style="568" bestFit="1" customWidth="1"/>
    <col min="14858" max="14858" width="8.375" style="568" bestFit="1" customWidth="1"/>
    <col min="14859" max="14861" width="8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1" width="7.625" style="568" bestFit="1" customWidth="1"/>
    <col min="15112" max="15112" width="2.25" style="568" bestFit="1" customWidth="1"/>
    <col min="15113" max="15113" width="4.375" style="568" bestFit="1" customWidth="1"/>
    <col min="15114" max="15114" width="8.375" style="568" bestFit="1" customWidth="1"/>
    <col min="15115" max="15117" width="8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7" width="7.625" style="568" bestFit="1" customWidth="1"/>
    <col min="15368" max="15368" width="2.25" style="568" bestFit="1" customWidth="1"/>
    <col min="15369" max="15369" width="4.375" style="568" bestFit="1" customWidth="1"/>
    <col min="15370" max="15370" width="8.375" style="568" bestFit="1" customWidth="1"/>
    <col min="15371" max="15373" width="8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3" width="7.625" style="568" bestFit="1" customWidth="1"/>
    <col min="15624" max="15624" width="2.25" style="568" bestFit="1" customWidth="1"/>
    <col min="15625" max="15625" width="4.375" style="568" bestFit="1" customWidth="1"/>
    <col min="15626" max="15626" width="8.375" style="568" bestFit="1" customWidth="1"/>
    <col min="15627" max="15629" width="8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79" width="7.625" style="568" bestFit="1" customWidth="1"/>
    <col min="15880" max="15880" width="2.25" style="568" bestFit="1" customWidth="1"/>
    <col min="15881" max="15881" width="4.375" style="568" bestFit="1" customWidth="1"/>
    <col min="15882" max="15882" width="8.375" style="568" bestFit="1" customWidth="1"/>
    <col min="15883" max="15885" width="8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5" width="7.625" style="568" bestFit="1" customWidth="1"/>
    <col min="16136" max="16136" width="2.25" style="568" bestFit="1" customWidth="1"/>
    <col min="16137" max="16137" width="4.375" style="568" bestFit="1" customWidth="1"/>
    <col min="16138" max="16138" width="8.375" style="568" bestFit="1" customWidth="1"/>
    <col min="16139" max="16141" width="8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837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97</v>
      </c>
      <c r="J9" s="567" t="s">
        <v>327</v>
      </c>
      <c r="K9" s="567" t="s">
        <v>1002</v>
      </c>
      <c r="L9" s="567" t="s">
        <v>1003</v>
      </c>
      <c r="M9" s="567" t="s">
        <v>1004</v>
      </c>
      <c r="N9" s="567" t="s">
        <v>1011</v>
      </c>
      <c r="O9" s="567" t="s">
        <v>1012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9.7916666666666666E-2</v>
      </c>
      <c r="E10" s="567">
        <v>67680</v>
      </c>
      <c r="F10" s="567" t="s">
        <v>1001</v>
      </c>
      <c r="G10" s="567" t="s">
        <v>326</v>
      </c>
      <c r="H10" s="567">
        <v>0</v>
      </c>
      <c r="I10" s="567">
        <v>97</v>
      </c>
      <c r="J10" s="567" t="s">
        <v>327</v>
      </c>
      <c r="K10" s="567" t="s">
        <v>1002</v>
      </c>
      <c r="L10" s="567" t="s">
        <v>1003</v>
      </c>
      <c r="M10" s="567" t="s">
        <v>1004</v>
      </c>
      <c r="N10" s="567" t="s">
        <v>1011</v>
      </c>
      <c r="O10" s="567" t="s">
        <v>1012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0.10416666666666667</v>
      </c>
      <c r="E11" s="567">
        <v>4320</v>
      </c>
      <c r="F11" s="567" t="s">
        <v>1001</v>
      </c>
      <c r="G11" s="567" t="s">
        <v>326</v>
      </c>
      <c r="H11" s="567">
        <v>0</v>
      </c>
      <c r="I11" s="567">
        <v>401</v>
      </c>
      <c r="J11" s="567" t="s">
        <v>327</v>
      </c>
      <c r="K11" s="567" t="s">
        <v>1002</v>
      </c>
      <c r="L11" s="567" t="s">
        <v>1003</v>
      </c>
      <c r="M11" s="567" t="s">
        <v>1004</v>
      </c>
      <c r="N11" s="567" t="s">
        <v>1011</v>
      </c>
      <c r="O11" s="567" t="s">
        <v>1012</v>
      </c>
      <c r="P11" s="567" t="s">
        <v>1007</v>
      </c>
      <c r="Q11" s="567" t="s">
        <v>1008</v>
      </c>
      <c r="R11" s="567">
        <v>80</v>
      </c>
    </row>
    <row r="12" spans="1:18" ht="15" x14ac:dyDescent="0.2">
      <c r="A12" s="567"/>
      <c r="B12" s="567"/>
      <c r="C12" s="567"/>
      <c r="D12" s="569">
        <v>0.23081018518518517</v>
      </c>
      <c r="E12" s="567">
        <v>87536</v>
      </c>
      <c r="F12" s="567" t="s">
        <v>1001</v>
      </c>
      <c r="G12" s="567" t="s">
        <v>326</v>
      </c>
      <c r="H12" s="567">
        <v>0</v>
      </c>
      <c r="I12" s="567">
        <v>401</v>
      </c>
      <c r="J12" s="567" t="s">
        <v>327</v>
      </c>
      <c r="K12" s="567" t="s">
        <v>1002</v>
      </c>
      <c r="L12" s="567" t="s">
        <v>1003</v>
      </c>
      <c r="M12" s="567" t="s">
        <v>1004</v>
      </c>
      <c r="N12" s="567" t="s">
        <v>1011</v>
      </c>
      <c r="O12" s="567" t="s">
        <v>1012</v>
      </c>
      <c r="P12" s="567" t="s">
        <v>1009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0.23081018518518517</v>
      </c>
      <c r="E13" s="567">
        <v>0</v>
      </c>
      <c r="F13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activeCell="A2" sqref="A2"/>
    </sheetView>
  </sheetViews>
  <sheetFormatPr defaultColWidth="9.125" defaultRowHeight="12.75" x14ac:dyDescent="0.2"/>
  <cols>
    <col min="1" max="1" width="9.125" style="573"/>
    <col min="2" max="2" width="6.875" style="573" bestFit="1" customWidth="1"/>
    <col min="3" max="3" width="5.125" style="573" bestFit="1" customWidth="1"/>
    <col min="4" max="4" width="15" style="573" bestFit="1" customWidth="1"/>
    <col min="5" max="5" width="10.875" style="573" bestFit="1" customWidth="1"/>
    <col min="6" max="6" width="30.125" style="573" bestFit="1" customWidth="1"/>
    <col min="7" max="8" width="8.75" style="573" bestFit="1" customWidth="1"/>
    <col min="9" max="9" width="7.75" style="573" bestFit="1" customWidth="1"/>
    <col min="10" max="10" width="9.625" style="573" bestFit="1" customWidth="1"/>
    <col min="11" max="11" width="21.375" style="573" bestFit="1" customWidth="1"/>
    <col min="12" max="13" width="10.125" style="573" bestFit="1" customWidth="1"/>
    <col min="14" max="15" width="10.375" style="573" bestFit="1" customWidth="1"/>
    <col min="16" max="16" width="10.875" style="573" bestFit="1" customWidth="1"/>
    <col min="17" max="17" width="10.75" style="573" bestFit="1" customWidth="1"/>
    <col min="18" max="18" width="3.875" style="573" bestFit="1" customWidth="1"/>
    <col min="19" max="16384" width="9.125" style="573"/>
  </cols>
  <sheetData>
    <row r="1" spans="1:18" ht="15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ht="15.75" x14ac:dyDescent="0.25">
      <c r="A2" s="649"/>
      <c r="B2" s="649" t="s">
        <v>320</v>
      </c>
      <c r="C2" s="649">
        <v>838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5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ht="15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18" ht="15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</row>
    <row r="6" spans="1:18" ht="15" x14ac:dyDescent="0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</row>
    <row r="7" spans="1:18" ht="15.75" x14ac:dyDescent="0.25">
      <c r="A7" s="649"/>
      <c r="B7" s="649"/>
      <c r="C7" s="649"/>
      <c r="D7" s="649" t="s">
        <v>321</v>
      </c>
      <c r="E7" s="649" t="s">
        <v>322</v>
      </c>
      <c r="F7" s="649" t="s">
        <v>323</v>
      </c>
      <c r="G7"/>
      <c r="H7"/>
      <c r="I7"/>
      <c r="J7"/>
      <c r="K7"/>
      <c r="L7"/>
      <c r="M7"/>
      <c r="N7"/>
      <c r="O7"/>
      <c r="P7"/>
      <c r="Q7"/>
      <c r="R7"/>
    </row>
    <row r="8" spans="1:18" ht="15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1:18" ht="15.75" x14ac:dyDescent="0.25">
      <c r="A9" s="649"/>
      <c r="B9" s="649"/>
      <c r="C9" s="649"/>
      <c r="D9" s="649" t="s">
        <v>1068</v>
      </c>
      <c r="E9" s="649">
        <v>0</v>
      </c>
      <c r="F9" s="649" t="s">
        <v>335</v>
      </c>
      <c r="G9" s="649">
        <v>0</v>
      </c>
      <c r="H9" s="649" t="s">
        <v>326</v>
      </c>
      <c r="I9" s="649" t="s">
        <v>336</v>
      </c>
      <c r="J9" s="649">
        <v>0</v>
      </c>
      <c r="K9" s="649" t="s">
        <v>337</v>
      </c>
      <c r="L9" s="649">
        <v>8</v>
      </c>
      <c r="M9" s="649">
        <v>1</v>
      </c>
      <c r="N9"/>
      <c r="O9"/>
      <c r="P9"/>
      <c r="Q9"/>
      <c r="R9"/>
    </row>
    <row r="10" spans="1:18" ht="15.75" x14ac:dyDescent="0.25">
      <c r="A10" s="649"/>
      <c r="B10" s="649"/>
      <c r="C10" s="649"/>
      <c r="D10" s="649" t="s">
        <v>1067</v>
      </c>
      <c r="E10" s="649">
        <v>8</v>
      </c>
      <c r="F10" s="649" t="s">
        <v>1022</v>
      </c>
      <c r="G10" s="649" t="s">
        <v>326</v>
      </c>
      <c r="H10" s="649">
        <v>0</v>
      </c>
      <c r="I10" s="649" t="s">
        <v>1021</v>
      </c>
      <c r="J10"/>
      <c r="K10"/>
      <c r="L10"/>
      <c r="M10"/>
      <c r="N10"/>
      <c r="O10"/>
      <c r="P10"/>
      <c r="Q10"/>
      <c r="R10"/>
    </row>
    <row r="11" spans="1:18" ht="15.75" x14ac:dyDescent="0.25">
      <c r="A11" s="649"/>
      <c r="B11" s="649"/>
      <c r="C11" s="649"/>
      <c r="D11" s="649" t="s">
        <v>1066</v>
      </c>
      <c r="E11" s="649">
        <v>16</v>
      </c>
      <c r="F11" s="649" t="s">
        <v>1027</v>
      </c>
      <c r="G11" s="649" t="s">
        <v>326</v>
      </c>
      <c r="H11" s="649">
        <v>0</v>
      </c>
      <c r="I11"/>
      <c r="J11"/>
      <c r="K11"/>
      <c r="L11"/>
      <c r="M11"/>
      <c r="N11"/>
      <c r="O11"/>
      <c r="P11"/>
      <c r="Q11"/>
      <c r="R11"/>
    </row>
    <row r="12" spans="1:18" ht="15.75" x14ac:dyDescent="0.25">
      <c r="A12" s="649"/>
      <c r="B12" s="649"/>
      <c r="C12" s="649"/>
      <c r="D12" s="649" t="s">
        <v>1066</v>
      </c>
      <c r="E12" s="649">
        <v>0</v>
      </c>
      <c r="F12" s="649" t="s">
        <v>1026</v>
      </c>
      <c r="G12" s="649" t="s">
        <v>326</v>
      </c>
      <c r="H12" s="649">
        <v>0</v>
      </c>
      <c r="I12" s="649">
        <v>20266</v>
      </c>
      <c r="J12" s="649">
        <v>32671</v>
      </c>
      <c r="K12"/>
      <c r="L12"/>
      <c r="M12"/>
      <c r="N12"/>
      <c r="O12"/>
      <c r="P12"/>
      <c r="Q12"/>
      <c r="R12"/>
    </row>
    <row r="13" spans="1:18" ht="15.75" x14ac:dyDescent="0.25">
      <c r="A13" s="649"/>
      <c r="B13" s="649"/>
      <c r="C13" s="649"/>
      <c r="D13" s="649" t="s">
        <v>1066</v>
      </c>
      <c r="E13" s="649">
        <v>0</v>
      </c>
      <c r="F13" s="649" t="s">
        <v>1024</v>
      </c>
      <c r="G13" s="649" t="s">
        <v>326</v>
      </c>
      <c r="H13" s="649">
        <v>0</v>
      </c>
      <c r="I13"/>
      <c r="J13"/>
      <c r="K13"/>
      <c r="L13"/>
      <c r="M13"/>
      <c r="N13"/>
      <c r="O13"/>
      <c r="P13"/>
      <c r="Q13"/>
      <c r="R13"/>
    </row>
    <row r="14" spans="1:18" ht="15.75" x14ac:dyDescent="0.25">
      <c r="A14" s="649"/>
      <c r="B14" s="649"/>
      <c r="C14" s="649"/>
      <c r="D14" s="649" t="s">
        <v>1065</v>
      </c>
      <c r="E14" s="649">
        <v>1</v>
      </c>
      <c r="F14" s="649" t="s">
        <v>1022</v>
      </c>
      <c r="G14" s="649" t="s">
        <v>326</v>
      </c>
      <c r="H14" s="649">
        <v>0</v>
      </c>
      <c r="I14" s="649" t="s">
        <v>1021</v>
      </c>
      <c r="J14"/>
      <c r="K14"/>
      <c r="L14"/>
      <c r="M14"/>
      <c r="N14"/>
      <c r="O14"/>
      <c r="P14"/>
      <c r="Q14"/>
      <c r="R14"/>
    </row>
    <row r="15" spans="1:18" ht="15.75" x14ac:dyDescent="0.25">
      <c r="A15" s="649"/>
      <c r="B15" s="649"/>
      <c r="C15" s="649"/>
      <c r="D15" s="649" t="s">
        <v>1065</v>
      </c>
      <c r="E15" s="649">
        <v>0</v>
      </c>
      <c r="F15" s="649" t="s">
        <v>1071</v>
      </c>
      <c r="G15" s="649" t="s">
        <v>326</v>
      </c>
      <c r="H15" s="649">
        <v>0</v>
      </c>
      <c r="I15" s="649">
        <v>22</v>
      </c>
      <c r="J15"/>
      <c r="K15"/>
      <c r="L15"/>
      <c r="M15"/>
      <c r="N15"/>
      <c r="O15"/>
      <c r="P15"/>
      <c r="Q15"/>
      <c r="R15"/>
    </row>
    <row r="16" spans="1:18" ht="15.75" x14ac:dyDescent="0.25">
      <c r="A16" s="649"/>
      <c r="B16" s="649"/>
      <c r="C16" s="649"/>
      <c r="D16" s="649" t="s">
        <v>1083</v>
      </c>
      <c r="E16" s="649">
        <v>8</v>
      </c>
      <c r="F16" s="649" t="s">
        <v>335</v>
      </c>
      <c r="G16" s="649">
        <v>0</v>
      </c>
      <c r="H16" s="649" t="s">
        <v>326</v>
      </c>
      <c r="I16" s="649" t="s">
        <v>336</v>
      </c>
      <c r="J16" s="649">
        <v>0</v>
      </c>
      <c r="K16" s="649" t="s">
        <v>337</v>
      </c>
      <c r="L16" s="649">
        <v>950</v>
      </c>
      <c r="M16" s="649">
        <v>2</v>
      </c>
      <c r="N16"/>
      <c r="O16"/>
      <c r="P16"/>
      <c r="Q16"/>
      <c r="R16"/>
    </row>
    <row r="17" spans="1:18" ht="15.75" x14ac:dyDescent="0.25">
      <c r="A17" s="649"/>
      <c r="B17" s="649"/>
      <c r="C17" s="649"/>
      <c r="D17" s="649" t="s">
        <v>1082</v>
      </c>
      <c r="E17" s="649">
        <v>8</v>
      </c>
      <c r="F17" s="649" t="s">
        <v>1071</v>
      </c>
      <c r="G17" s="649" t="s">
        <v>326</v>
      </c>
      <c r="H17" s="649">
        <v>0</v>
      </c>
      <c r="I17" s="649">
        <v>17</v>
      </c>
      <c r="J17"/>
      <c r="K17"/>
      <c r="L17"/>
      <c r="M17"/>
      <c r="N17"/>
      <c r="O17"/>
      <c r="P17"/>
      <c r="Q17"/>
      <c r="R17"/>
    </row>
    <row r="18" spans="1:18" ht="15.75" x14ac:dyDescent="0.25">
      <c r="A18" s="649"/>
      <c r="B18" s="649"/>
      <c r="C18" s="649"/>
      <c r="D18" s="649" t="s">
        <v>1081</v>
      </c>
      <c r="E18" s="649">
        <v>3360</v>
      </c>
      <c r="F18" s="649" t="s">
        <v>335</v>
      </c>
      <c r="G18" s="649">
        <v>0</v>
      </c>
      <c r="H18" s="649" t="s">
        <v>326</v>
      </c>
      <c r="I18" s="649" t="s">
        <v>336</v>
      </c>
      <c r="J18" s="649">
        <v>0</v>
      </c>
      <c r="K18" s="649" t="s">
        <v>337</v>
      </c>
      <c r="L18" s="649">
        <v>950</v>
      </c>
      <c r="M18" s="649">
        <v>4</v>
      </c>
      <c r="N18"/>
      <c r="O18"/>
      <c r="P18"/>
      <c r="Q18"/>
      <c r="R18"/>
    </row>
    <row r="19" spans="1:18" ht="15.75" x14ac:dyDescent="0.25">
      <c r="A19" s="649"/>
      <c r="B19" s="649"/>
      <c r="C19" s="649"/>
      <c r="D19" s="649" t="s">
        <v>1080</v>
      </c>
      <c r="E19" s="649">
        <v>8</v>
      </c>
      <c r="F19" s="649" t="s">
        <v>1071</v>
      </c>
      <c r="G19" s="649" t="s">
        <v>326</v>
      </c>
      <c r="H19" s="649">
        <v>0</v>
      </c>
      <c r="I19" s="649">
        <v>8</v>
      </c>
      <c r="J19"/>
      <c r="K19"/>
      <c r="L19"/>
      <c r="M19"/>
      <c r="N19"/>
      <c r="O19"/>
      <c r="P19"/>
      <c r="Q19"/>
      <c r="R19"/>
    </row>
    <row r="20" spans="1:18" ht="15.75" x14ac:dyDescent="0.25">
      <c r="A20" s="649"/>
      <c r="B20" s="649"/>
      <c r="C20" s="649"/>
      <c r="D20" s="649" t="s">
        <v>1079</v>
      </c>
      <c r="E20" s="649">
        <v>8640</v>
      </c>
      <c r="F20" s="649" t="s">
        <v>335</v>
      </c>
      <c r="G20" s="649">
        <v>0</v>
      </c>
      <c r="H20" s="649" t="s">
        <v>326</v>
      </c>
      <c r="I20" s="649" t="s">
        <v>336</v>
      </c>
      <c r="J20" s="649">
        <v>0</v>
      </c>
      <c r="K20" s="649" t="s">
        <v>337</v>
      </c>
      <c r="L20" s="649">
        <v>7</v>
      </c>
      <c r="M20" s="649">
        <v>1</v>
      </c>
      <c r="N20"/>
      <c r="O20"/>
      <c r="P20"/>
      <c r="Q20"/>
      <c r="R20"/>
    </row>
    <row r="21" spans="1:18" ht="15" x14ac:dyDescent="0.2">
      <c r="A21" s="649"/>
      <c r="B21" s="649"/>
      <c r="C21" s="649"/>
      <c r="D21" s="649" t="s">
        <v>1078</v>
      </c>
      <c r="E21" s="649">
        <v>0</v>
      </c>
      <c r="F21" s="649" t="s">
        <v>1001</v>
      </c>
      <c r="G21" s="649" t="s">
        <v>326</v>
      </c>
      <c r="H21" s="649">
        <v>0</v>
      </c>
      <c r="I21" s="649">
        <v>39</v>
      </c>
      <c r="J21" s="649" t="s">
        <v>327</v>
      </c>
      <c r="K21" s="649" t="s">
        <v>1002</v>
      </c>
      <c r="L21" s="649" t="s">
        <v>1003</v>
      </c>
      <c r="M21" s="649" t="s">
        <v>1004</v>
      </c>
      <c r="N21" s="649" t="s">
        <v>1011</v>
      </c>
      <c r="O21" s="649" t="s">
        <v>1012</v>
      </c>
      <c r="P21" s="649" t="s">
        <v>1009</v>
      </c>
      <c r="Q21" s="649" t="s">
        <v>1008</v>
      </c>
      <c r="R21" s="649">
        <v>80</v>
      </c>
    </row>
    <row r="22" spans="1:18" ht="15" x14ac:dyDescent="0.2">
      <c r="A22" s="649"/>
      <c r="B22" s="649"/>
      <c r="C22" s="649"/>
      <c r="D22" s="649" t="s">
        <v>1077</v>
      </c>
      <c r="E22" s="649">
        <v>2880</v>
      </c>
      <c r="F22" s="649" t="s">
        <v>1001</v>
      </c>
      <c r="G22" s="649" t="s">
        <v>326</v>
      </c>
      <c r="H22" s="649">
        <v>0</v>
      </c>
      <c r="I22" s="649">
        <v>39</v>
      </c>
      <c r="J22" s="649" t="s">
        <v>327</v>
      </c>
      <c r="K22" s="649" t="s">
        <v>1002</v>
      </c>
      <c r="L22" s="649" t="s">
        <v>1003</v>
      </c>
      <c r="M22" s="649" t="s">
        <v>1004</v>
      </c>
      <c r="N22" s="649" t="s">
        <v>1011</v>
      </c>
      <c r="O22" s="649" t="s">
        <v>1012</v>
      </c>
      <c r="P22" s="649" t="s">
        <v>1007</v>
      </c>
      <c r="Q22" s="649" t="s">
        <v>1008</v>
      </c>
      <c r="R22" s="649">
        <v>80</v>
      </c>
    </row>
    <row r="23" spans="1:18" ht="15.75" x14ac:dyDescent="0.25">
      <c r="A23" s="649"/>
      <c r="B23" s="649"/>
      <c r="C23" s="649"/>
      <c r="D23" s="649" t="s">
        <v>1076</v>
      </c>
      <c r="E23" s="649">
        <v>2880</v>
      </c>
      <c r="F23" s="649" t="s">
        <v>335</v>
      </c>
      <c r="G23" s="649">
        <v>0</v>
      </c>
      <c r="H23" s="649" t="s">
        <v>326</v>
      </c>
      <c r="I23" s="649" t="s">
        <v>336</v>
      </c>
      <c r="J23" s="649">
        <v>0</v>
      </c>
      <c r="K23" s="649" t="s">
        <v>337</v>
      </c>
      <c r="L23" s="649">
        <v>8</v>
      </c>
      <c r="M23" s="649">
        <v>1</v>
      </c>
      <c r="N23"/>
      <c r="O23"/>
      <c r="P23"/>
      <c r="Q23"/>
      <c r="R23"/>
    </row>
    <row r="24" spans="1:18" ht="15.75" x14ac:dyDescent="0.25">
      <c r="A24" s="649"/>
      <c r="B24" s="649"/>
      <c r="C24" s="649"/>
      <c r="D24" s="649" t="s">
        <v>1075</v>
      </c>
      <c r="E24" s="649">
        <v>0</v>
      </c>
      <c r="F24" s="649" t="s">
        <v>335</v>
      </c>
      <c r="G24" s="649">
        <v>0</v>
      </c>
      <c r="H24" s="649" t="s">
        <v>326</v>
      </c>
      <c r="I24" s="649" t="s">
        <v>336</v>
      </c>
      <c r="J24" s="649">
        <v>0</v>
      </c>
      <c r="K24" s="649" t="s">
        <v>337</v>
      </c>
      <c r="L24" s="649">
        <v>950</v>
      </c>
      <c r="M24" s="649">
        <v>2</v>
      </c>
      <c r="N24"/>
      <c r="O24"/>
      <c r="P24"/>
      <c r="Q24"/>
      <c r="R24"/>
    </row>
    <row r="25" spans="1:18" ht="15.75" x14ac:dyDescent="0.25">
      <c r="A25" s="649"/>
      <c r="B25" s="649"/>
      <c r="C25" s="649"/>
      <c r="D25" s="649" t="s">
        <v>1074</v>
      </c>
      <c r="E25" s="649">
        <v>8</v>
      </c>
      <c r="F25" s="649" t="s">
        <v>1071</v>
      </c>
      <c r="G25" s="649" t="s">
        <v>326</v>
      </c>
      <c r="H25" s="649">
        <v>0</v>
      </c>
      <c r="I25" s="649">
        <v>7</v>
      </c>
      <c r="J25"/>
      <c r="K25"/>
      <c r="L25"/>
      <c r="M25"/>
      <c r="N25"/>
      <c r="O25"/>
      <c r="P25"/>
      <c r="Q25"/>
      <c r="R25"/>
    </row>
    <row r="26" spans="1:18" ht="15.75" x14ac:dyDescent="0.25">
      <c r="A26" s="649"/>
      <c r="B26" s="649"/>
      <c r="C26" s="649"/>
      <c r="D26" s="649" t="s">
        <v>1073</v>
      </c>
      <c r="E26" s="649">
        <v>8640</v>
      </c>
      <c r="F26" s="649" t="s">
        <v>335</v>
      </c>
      <c r="G26" s="649">
        <v>0</v>
      </c>
      <c r="H26" s="649" t="s">
        <v>326</v>
      </c>
      <c r="I26" s="649" t="s">
        <v>336</v>
      </c>
      <c r="J26" s="649">
        <v>0</v>
      </c>
      <c r="K26" s="649" t="s">
        <v>337</v>
      </c>
      <c r="L26" s="649">
        <v>950</v>
      </c>
      <c r="M26" s="649">
        <v>2</v>
      </c>
      <c r="N26"/>
      <c r="O26"/>
      <c r="P26"/>
      <c r="Q26"/>
      <c r="R26"/>
    </row>
    <row r="27" spans="1:18" ht="15.75" x14ac:dyDescent="0.25">
      <c r="A27" s="649"/>
      <c r="B27" s="649"/>
      <c r="C27" s="649"/>
      <c r="D27" s="649" t="s">
        <v>1072</v>
      </c>
      <c r="E27" s="649">
        <v>8</v>
      </c>
      <c r="F27" s="649" t="s">
        <v>1071</v>
      </c>
      <c r="G27" s="649" t="s">
        <v>326</v>
      </c>
      <c r="H27" s="649">
        <v>0</v>
      </c>
      <c r="I27" s="649">
        <v>5</v>
      </c>
      <c r="J27"/>
      <c r="K27"/>
      <c r="L27"/>
      <c r="M27"/>
      <c r="N27"/>
      <c r="O27"/>
      <c r="P27"/>
      <c r="Q27"/>
      <c r="R27"/>
    </row>
    <row r="28" spans="1:18" ht="15.75" x14ac:dyDescent="0.25">
      <c r="A28" s="649"/>
      <c r="B28" s="649"/>
      <c r="C28" s="649"/>
      <c r="D28" s="649" t="s">
        <v>1096</v>
      </c>
      <c r="E28" s="649">
        <v>8</v>
      </c>
      <c r="F28" s="649" t="s">
        <v>1097</v>
      </c>
      <c r="G28" s="649" t="s">
        <v>326</v>
      </c>
      <c r="H28" s="649">
        <v>0</v>
      </c>
      <c r="I28"/>
      <c r="J28"/>
      <c r="K28"/>
      <c r="L28"/>
      <c r="M28"/>
      <c r="N28"/>
      <c r="O28"/>
      <c r="P28"/>
      <c r="Q28"/>
      <c r="R28"/>
    </row>
    <row r="29" spans="1:18" ht="15.75" x14ac:dyDescent="0.25">
      <c r="A29" s="649"/>
      <c r="B29" s="649"/>
      <c r="C29" s="649"/>
      <c r="D29" s="649" t="s">
        <v>1098</v>
      </c>
      <c r="E29" s="649">
        <v>15840</v>
      </c>
      <c r="F29" s="649" t="s">
        <v>335</v>
      </c>
      <c r="G29" s="649">
        <v>0</v>
      </c>
      <c r="H29" s="649" t="s">
        <v>326</v>
      </c>
      <c r="I29" s="649" t="s">
        <v>336</v>
      </c>
      <c r="J29" s="649">
        <v>0</v>
      </c>
      <c r="K29" s="649" t="s">
        <v>337</v>
      </c>
      <c r="L29" s="649">
        <v>7</v>
      </c>
      <c r="M29" s="649">
        <v>1</v>
      </c>
      <c r="N29"/>
      <c r="O29"/>
      <c r="P29"/>
      <c r="Q29"/>
      <c r="R29"/>
    </row>
    <row r="30" spans="1:18" ht="15" x14ac:dyDescent="0.2">
      <c r="A30" s="649"/>
      <c r="B30" s="649"/>
      <c r="C30" s="649"/>
      <c r="D30" s="649" t="s">
        <v>1099</v>
      </c>
      <c r="E30" s="649">
        <v>0</v>
      </c>
      <c r="F30" s="649" t="s">
        <v>1001</v>
      </c>
      <c r="G30" s="649" t="s">
        <v>326</v>
      </c>
      <c r="H30" s="649">
        <v>0</v>
      </c>
      <c r="I30" s="649">
        <v>39</v>
      </c>
      <c r="J30" s="649" t="s">
        <v>327</v>
      </c>
      <c r="K30" s="649" t="s">
        <v>1002</v>
      </c>
      <c r="L30" s="649" t="s">
        <v>1003</v>
      </c>
      <c r="M30" s="649" t="s">
        <v>1004</v>
      </c>
      <c r="N30" s="649" t="s">
        <v>1011</v>
      </c>
      <c r="O30" s="649" t="s">
        <v>1012</v>
      </c>
      <c r="P30" s="649" t="s">
        <v>1009</v>
      </c>
      <c r="Q30" s="649" t="s">
        <v>1008</v>
      </c>
      <c r="R30" s="649">
        <v>80</v>
      </c>
    </row>
    <row r="31" spans="1:18" ht="15" x14ac:dyDescent="0.2">
      <c r="A31" s="649"/>
      <c r="B31" s="649"/>
      <c r="C31" s="649"/>
      <c r="D31" s="649" t="s">
        <v>1100</v>
      </c>
      <c r="E31" s="649">
        <v>2880</v>
      </c>
      <c r="F31" s="649" t="s">
        <v>1001</v>
      </c>
      <c r="G31" s="649" t="s">
        <v>326</v>
      </c>
      <c r="H31" s="649">
        <v>0</v>
      </c>
      <c r="I31" s="649">
        <v>39</v>
      </c>
      <c r="J31" s="649" t="s">
        <v>327</v>
      </c>
      <c r="K31" s="649" t="s">
        <v>1002</v>
      </c>
      <c r="L31" s="649" t="s">
        <v>1003</v>
      </c>
      <c r="M31" s="649" t="s">
        <v>1004</v>
      </c>
      <c r="N31" s="649" t="s">
        <v>1011</v>
      </c>
      <c r="O31" s="649" t="s">
        <v>1012</v>
      </c>
      <c r="P31" s="649" t="s">
        <v>1007</v>
      </c>
      <c r="Q31" s="649" t="s">
        <v>1008</v>
      </c>
      <c r="R31" s="649">
        <v>80</v>
      </c>
    </row>
    <row r="32" spans="1:18" ht="15.75" x14ac:dyDescent="0.25">
      <c r="A32" s="649"/>
      <c r="B32" s="649"/>
      <c r="C32" s="649"/>
      <c r="D32" s="649" t="s">
        <v>1101</v>
      </c>
      <c r="E32" s="649">
        <v>2880</v>
      </c>
      <c r="F32" s="649" t="s">
        <v>335</v>
      </c>
      <c r="G32" s="649">
        <v>0</v>
      </c>
      <c r="H32" s="649" t="s">
        <v>326</v>
      </c>
      <c r="I32" s="649" t="s">
        <v>336</v>
      </c>
      <c r="J32" s="649">
        <v>0</v>
      </c>
      <c r="K32" s="649" t="s">
        <v>337</v>
      </c>
      <c r="L32" s="649">
        <v>8</v>
      </c>
      <c r="M32" s="649">
        <v>1</v>
      </c>
      <c r="N32"/>
      <c r="O32"/>
      <c r="P32"/>
      <c r="Q32"/>
      <c r="R32"/>
    </row>
    <row r="33" spans="1:18" ht="15.75" x14ac:dyDescent="0.25">
      <c r="A33" s="649"/>
      <c r="B33" s="649"/>
      <c r="C33" s="649"/>
      <c r="D33" s="649" t="s">
        <v>1102</v>
      </c>
      <c r="E33" s="649">
        <v>0</v>
      </c>
      <c r="F33" s="649" t="s">
        <v>335</v>
      </c>
      <c r="G33" s="649">
        <v>0</v>
      </c>
      <c r="H33" s="649" t="s">
        <v>326</v>
      </c>
      <c r="I33" s="649" t="s">
        <v>336</v>
      </c>
      <c r="J33" s="649">
        <v>0</v>
      </c>
      <c r="K33" s="649" t="s">
        <v>337</v>
      </c>
      <c r="L33" s="649">
        <v>950</v>
      </c>
      <c r="M33" s="649">
        <v>6</v>
      </c>
      <c r="N33"/>
      <c r="O33"/>
      <c r="P33"/>
      <c r="Q33"/>
      <c r="R33"/>
    </row>
    <row r="34" spans="1:18" ht="15.75" x14ac:dyDescent="0.25">
      <c r="A34" s="649"/>
      <c r="B34" s="649"/>
      <c r="C34" s="649"/>
      <c r="D34" s="649" t="s">
        <v>1070</v>
      </c>
      <c r="E34" s="649">
        <v>8</v>
      </c>
      <c r="F34" s="649" t="s">
        <v>1071</v>
      </c>
      <c r="G34" s="649" t="s">
        <v>326</v>
      </c>
      <c r="H34" s="649">
        <v>0</v>
      </c>
      <c r="I34" s="649">
        <v>22</v>
      </c>
      <c r="J34"/>
      <c r="K34"/>
      <c r="L34"/>
      <c r="M34"/>
      <c r="N34"/>
      <c r="O34"/>
      <c r="P34"/>
      <c r="Q34"/>
      <c r="R34"/>
    </row>
    <row r="35" spans="1:18" ht="15.75" x14ac:dyDescent="0.25">
      <c r="A35" s="649"/>
      <c r="B35" s="649"/>
      <c r="C35" s="649"/>
      <c r="D35" s="649" t="s">
        <v>1103</v>
      </c>
      <c r="E35" s="649">
        <v>8</v>
      </c>
      <c r="F35" s="649" t="s">
        <v>1104</v>
      </c>
      <c r="G35" s="649" t="s">
        <v>326</v>
      </c>
      <c r="H35" s="649">
        <v>0</v>
      </c>
      <c r="I35"/>
      <c r="J35"/>
      <c r="K35"/>
      <c r="L35"/>
      <c r="M35"/>
      <c r="N35"/>
      <c r="O35"/>
      <c r="P35"/>
      <c r="Q35"/>
      <c r="R35"/>
    </row>
    <row r="36" spans="1:18" ht="15.75" x14ac:dyDescent="0.25">
      <c r="A36" s="649"/>
      <c r="B36" s="649"/>
      <c r="C36" s="649"/>
      <c r="D36" s="649" t="s">
        <v>1105</v>
      </c>
      <c r="E36" s="649">
        <v>8</v>
      </c>
      <c r="F36" s="649" t="s">
        <v>1027</v>
      </c>
      <c r="G36" s="649" t="s">
        <v>326</v>
      </c>
      <c r="H36" s="649">
        <v>0</v>
      </c>
      <c r="I36"/>
      <c r="J36"/>
      <c r="K36"/>
      <c r="L36"/>
      <c r="M36"/>
      <c r="N36"/>
      <c r="O36"/>
      <c r="P36"/>
      <c r="Q36"/>
      <c r="R36"/>
    </row>
    <row r="37" spans="1:18" ht="15.75" x14ac:dyDescent="0.25">
      <c r="A37" s="649"/>
      <c r="B37" s="649"/>
      <c r="C37" s="649"/>
      <c r="D37" s="649" t="s">
        <v>1105</v>
      </c>
      <c r="E37" s="649">
        <v>0</v>
      </c>
      <c r="F37" s="649" t="s">
        <v>1026</v>
      </c>
      <c r="G37" s="649" t="s">
        <v>326</v>
      </c>
      <c r="H37" s="649">
        <v>0</v>
      </c>
      <c r="I37" s="649">
        <v>20266</v>
      </c>
      <c r="J37" s="649">
        <v>32031</v>
      </c>
      <c r="K37"/>
      <c r="L37"/>
      <c r="M37"/>
      <c r="N37"/>
      <c r="O37"/>
      <c r="P37"/>
      <c r="Q37"/>
      <c r="R37"/>
    </row>
    <row r="38" spans="1:18" ht="15.75" x14ac:dyDescent="0.25">
      <c r="A38" s="649"/>
      <c r="B38" s="649"/>
      <c r="C38" s="649"/>
      <c r="D38" s="649" t="s">
        <v>1105</v>
      </c>
      <c r="E38" s="649">
        <v>0</v>
      </c>
      <c r="F38" s="649" t="s">
        <v>1024</v>
      </c>
      <c r="G38" s="649" t="s">
        <v>326</v>
      </c>
      <c r="H38" s="649">
        <v>0</v>
      </c>
      <c r="I38"/>
      <c r="J38"/>
      <c r="K38"/>
      <c r="L38"/>
      <c r="M38"/>
      <c r="N38"/>
      <c r="O38"/>
      <c r="P38"/>
      <c r="Q38"/>
      <c r="R38"/>
    </row>
    <row r="39" spans="1:18" ht="15.75" x14ac:dyDescent="0.25">
      <c r="A39" s="649"/>
      <c r="B39" s="649"/>
      <c r="C39" s="649"/>
      <c r="D39" s="649" t="s">
        <v>1069</v>
      </c>
      <c r="E39" s="649">
        <v>1</v>
      </c>
      <c r="F39" s="649" t="s">
        <v>1022</v>
      </c>
      <c r="G39" s="649" t="s">
        <v>326</v>
      </c>
      <c r="H39" s="649">
        <v>0</v>
      </c>
      <c r="I39" s="649" t="s">
        <v>1021</v>
      </c>
      <c r="J39"/>
      <c r="K39"/>
      <c r="L39"/>
      <c r="M39"/>
      <c r="N39"/>
      <c r="O39"/>
      <c r="P39"/>
      <c r="Q39"/>
      <c r="R39"/>
    </row>
    <row r="40" spans="1:18" ht="15.75" x14ac:dyDescent="0.25">
      <c r="A40" s="649"/>
      <c r="B40" s="649"/>
      <c r="C40" s="649"/>
      <c r="D40" s="649" t="s">
        <v>1106</v>
      </c>
      <c r="E40" s="649">
        <v>16</v>
      </c>
      <c r="F40" s="649" t="s">
        <v>335</v>
      </c>
      <c r="G40" s="649">
        <v>0</v>
      </c>
      <c r="H40" s="649" t="s">
        <v>326</v>
      </c>
      <c r="I40" s="649" t="s">
        <v>336</v>
      </c>
      <c r="J40" s="649">
        <v>0</v>
      </c>
      <c r="K40" s="649" t="s">
        <v>337</v>
      </c>
      <c r="L40" s="649">
        <v>7</v>
      </c>
      <c r="M40" s="649">
        <v>1</v>
      </c>
      <c r="N40"/>
      <c r="O40"/>
      <c r="P40"/>
      <c r="Q40"/>
      <c r="R40"/>
    </row>
    <row r="41" spans="1:18" ht="15.75" x14ac:dyDescent="0.25">
      <c r="A41" s="649"/>
      <c r="B41" s="649"/>
      <c r="C41" s="649"/>
      <c r="D41" s="649" t="s">
        <v>1107</v>
      </c>
      <c r="E41" s="649">
        <v>0</v>
      </c>
      <c r="F41" s="649" t="s">
        <v>340</v>
      </c>
      <c r="G41"/>
      <c r="H41"/>
      <c r="I41"/>
      <c r="J41"/>
      <c r="K41"/>
      <c r="L41"/>
      <c r="M41"/>
      <c r="N41"/>
      <c r="O41"/>
      <c r="P41"/>
      <c r="Q41"/>
      <c r="R41"/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3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7" width="7.625" style="568" bestFit="1" customWidth="1"/>
    <col min="8" max="8" width="2.25" style="568" bestFit="1" customWidth="1"/>
    <col min="9" max="9" width="4.375" style="568" bestFit="1" customWidth="1"/>
    <col min="10" max="10" width="8.375" style="568" bestFit="1" customWidth="1"/>
    <col min="11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3" width="7.625" style="568" bestFit="1" customWidth="1"/>
    <col min="264" max="264" width="2.25" style="568" bestFit="1" customWidth="1"/>
    <col min="265" max="265" width="4.375" style="568" bestFit="1" customWidth="1"/>
    <col min="266" max="266" width="8.375" style="568" bestFit="1" customWidth="1"/>
    <col min="267" max="269" width="8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19" width="7.625" style="568" bestFit="1" customWidth="1"/>
    <col min="520" max="520" width="2.25" style="568" bestFit="1" customWidth="1"/>
    <col min="521" max="521" width="4.375" style="568" bestFit="1" customWidth="1"/>
    <col min="522" max="522" width="8.375" style="568" bestFit="1" customWidth="1"/>
    <col min="523" max="525" width="8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5" width="7.625" style="568" bestFit="1" customWidth="1"/>
    <col min="776" max="776" width="2.25" style="568" bestFit="1" customWidth="1"/>
    <col min="777" max="777" width="4.375" style="568" bestFit="1" customWidth="1"/>
    <col min="778" max="778" width="8.375" style="568" bestFit="1" customWidth="1"/>
    <col min="779" max="781" width="8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1" width="7.625" style="568" bestFit="1" customWidth="1"/>
    <col min="1032" max="1032" width="2.25" style="568" bestFit="1" customWidth="1"/>
    <col min="1033" max="1033" width="4.375" style="568" bestFit="1" customWidth="1"/>
    <col min="1034" max="1034" width="8.375" style="568" bestFit="1" customWidth="1"/>
    <col min="1035" max="1037" width="8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7" width="7.625" style="568" bestFit="1" customWidth="1"/>
    <col min="1288" max="1288" width="2.25" style="568" bestFit="1" customWidth="1"/>
    <col min="1289" max="1289" width="4.375" style="568" bestFit="1" customWidth="1"/>
    <col min="1290" max="1290" width="8.375" style="568" bestFit="1" customWidth="1"/>
    <col min="1291" max="1293" width="8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3" width="7.625" style="568" bestFit="1" customWidth="1"/>
    <col min="1544" max="1544" width="2.25" style="568" bestFit="1" customWidth="1"/>
    <col min="1545" max="1545" width="4.375" style="568" bestFit="1" customWidth="1"/>
    <col min="1546" max="1546" width="8.375" style="568" bestFit="1" customWidth="1"/>
    <col min="1547" max="1549" width="8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799" width="7.625" style="568" bestFit="1" customWidth="1"/>
    <col min="1800" max="1800" width="2.25" style="568" bestFit="1" customWidth="1"/>
    <col min="1801" max="1801" width="4.375" style="568" bestFit="1" customWidth="1"/>
    <col min="1802" max="1802" width="8.375" style="568" bestFit="1" customWidth="1"/>
    <col min="1803" max="1805" width="8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5" width="7.625" style="568" bestFit="1" customWidth="1"/>
    <col min="2056" max="2056" width="2.25" style="568" bestFit="1" customWidth="1"/>
    <col min="2057" max="2057" width="4.375" style="568" bestFit="1" customWidth="1"/>
    <col min="2058" max="2058" width="8.375" style="568" bestFit="1" customWidth="1"/>
    <col min="2059" max="2061" width="8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1" width="7.625" style="568" bestFit="1" customWidth="1"/>
    <col min="2312" max="2312" width="2.25" style="568" bestFit="1" customWidth="1"/>
    <col min="2313" max="2313" width="4.375" style="568" bestFit="1" customWidth="1"/>
    <col min="2314" max="2314" width="8.375" style="568" bestFit="1" customWidth="1"/>
    <col min="2315" max="2317" width="8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7" width="7.625" style="568" bestFit="1" customWidth="1"/>
    <col min="2568" max="2568" width="2.25" style="568" bestFit="1" customWidth="1"/>
    <col min="2569" max="2569" width="4.375" style="568" bestFit="1" customWidth="1"/>
    <col min="2570" max="2570" width="8.375" style="568" bestFit="1" customWidth="1"/>
    <col min="2571" max="2573" width="8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3" width="7.625" style="568" bestFit="1" customWidth="1"/>
    <col min="2824" max="2824" width="2.25" style="568" bestFit="1" customWidth="1"/>
    <col min="2825" max="2825" width="4.375" style="568" bestFit="1" customWidth="1"/>
    <col min="2826" max="2826" width="8.375" style="568" bestFit="1" customWidth="1"/>
    <col min="2827" max="2829" width="8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79" width="7.625" style="568" bestFit="1" customWidth="1"/>
    <col min="3080" max="3080" width="2.25" style="568" bestFit="1" customWidth="1"/>
    <col min="3081" max="3081" width="4.375" style="568" bestFit="1" customWidth="1"/>
    <col min="3082" max="3082" width="8.375" style="568" bestFit="1" customWidth="1"/>
    <col min="3083" max="3085" width="8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5" width="7.625" style="568" bestFit="1" customWidth="1"/>
    <col min="3336" max="3336" width="2.25" style="568" bestFit="1" customWidth="1"/>
    <col min="3337" max="3337" width="4.375" style="568" bestFit="1" customWidth="1"/>
    <col min="3338" max="3338" width="8.375" style="568" bestFit="1" customWidth="1"/>
    <col min="3339" max="3341" width="8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1" width="7.625" style="568" bestFit="1" customWidth="1"/>
    <col min="3592" max="3592" width="2.25" style="568" bestFit="1" customWidth="1"/>
    <col min="3593" max="3593" width="4.375" style="568" bestFit="1" customWidth="1"/>
    <col min="3594" max="3594" width="8.375" style="568" bestFit="1" customWidth="1"/>
    <col min="3595" max="3597" width="8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7" width="7.625" style="568" bestFit="1" customWidth="1"/>
    <col min="3848" max="3848" width="2.25" style="568" bestFit="1" customWidth="1"/>
    <col min="3849" max="3849" width="4.375" style="568" bestFit="1" customWidth="1"/>
    <col min="3850" max="3850" width="8.375" style="568" bestFit="1" customWidth="1"/>
    <col min="3851" max="3853" width="8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3" width="7.625" style="568" bestFit="1" customWidth="1"/>
    <col min="4104" max="4104" width="2.25" style="568" bestFit="1" customWidth="1"/>
    <col min="4105" max="4105" width="4.375" style="568" bestFit="1" customWidth="1"/>
    <col min="4106" max="4106" width="8.375" style="568" bestFit="1" customWidth="1"/>
    <col min="4107" max="4109" width="8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59" width="7.625" style="568" bestFit="1" customWidth="1"/>
    <col min="4360" max="4360" width="2.25" style="568" bestFit="1" customWidth="1"/>
    <col min="4361" max="4361" width="4.375" style="568" bestFit="1" customWidth="1"/>
    <col min="4362" max="4362" width="8.375" style="568" bestFit="1" customWidth="1"/>
    <col min="4363" max="4365" width="8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5" width="7.625" style="568" bestFit="1" customWidth="1"/>
    <col min="4616" max="4616" width="2.25" style="568" bestFit="1" customWidth="1"/>
    <col min="4617" max="4617" width="4.375" style="568" bestFit="1" customWidth="1"/>
    <col min="4618" max="4618" width="8.375" style="568" bestFit="1" customWidth="1"/>
    <col min="4619" max="4621" width="8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1" width="7.625" style="568" bestFit="1" customWidth="1"/>
    <col min="4872" max="4872" width="2.25" style="568" bestFit="1" customWidth="1"/>
    <col min="4873" max="4873" width="4.375" style="568" bestFit="1" customWidth="1"/>
    <col min="4874" max="4874" width="8.375" style="568" bestFit="1" customWidth="1"/>
    <col min="4875" max="4877" width="8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7" width="7.625" style="568" bestFit="1" customWidth="1"/>
    <col min="5128" max="5128" width="2.25" style="568" bestFit="1" customWidth="1"/>
    <col min="5129" max="5129" width="4.375" style="568" bestFit="1" customWidth="1"/>
    <col min="5130" max="5130" width="8.375" style="568" bestFit="1" customWidth="1"/>
    <col min="5131" max="5133" width="8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3" width="7.625" style="568" bestFit="1" customWidth="1"/>
    <col min="5384" max="5384" width="2.25" style="568" bestFit="1" customWidth="1"/>
    <col min="5385" max="5385" width="4.375" style="568" bestFit="1" customWidth="1"/>
    <col min="5386" max="5386" width="8.375" style="568" bestFit="1" customWidth="1"/>
    <col min="5387" max="5389" width="8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39" width="7.625" style="568" bestFit="1" customWidth="1"/>
    <col min="5640" max="5640" width="2.25" style="568" bestFit="1" customWidth="1"/>
    <col min="5641" max="5641" width="4.375" style="568" bestFit="1" customWidth="1"/>
    <col min="5642" max="5642" width="8.375" style="568" bestFit="1" customWidth="1"/>
    <col min="5643" max="5645" width="8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5" width="7.625" style="568" bestFit="1" customWidth="1"/>
    <col min="5896" max="5896" width="2.25" style="568" bestFit="1" customWidth="1"/>
    <col min="5897" max="5897" width="4.375" style="568" bestFit="1" customWidth="1"/>
    <col min="5898" max="5898" width="8.375" style="568" bestFit="1" customWidth="1"/>
    <col min="5899" max="5901" width="8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1" width="7.625" style="568" bestFit="1" customWidth="1"/>
    <col min="6152" max="6152" width="2.25" style="568" bestFit="1" customWidth="1"/>
    <col min="6153" max="6153" width="4.375" style="568" bestFit="1" customWidth="1"/>
    <col min="6154" max="6154" width="8.375" style="568" bestFit="1" customWidth="1"/>
    <col min="6155" max="6157" width="8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7" width="7.625" style="568" bestFit="1" customWidth="1"/>
    <col min="6408" max="6408" width="2.25" style="568" bestFit="1" customWidth="1"/>
    <col min="6409" max="6409" width="4.375" style="568" bestFit="1" customWidth="1"/>
    <col min="6410" max="6410" width="8.375" style="568" bestFit="1" customWidth="1"/>
    <col min="6411" max="6413" width="8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3" width="7.625" style="568" bestFit="1" customWidth="1"/>
    <col min="6664" max="6664" width="2.25" style="568" bestFit="1" customWidth="1"/>
    <col min="6665" max="6665" width="4.375" style="568" bestFit="1" customWidth="1"/>
    <col min="6666" max="6666" width="8.375" style="568" bestFit="1" customWidth="1"/>
    <col min="6667" max="6669" width="8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19" width="7.625" style="568" bestFit="1" customWidth="1"/>
    <col min="6920" max="6920" width="2.25" style="568" bestFit="1" customWidth="1"/>
    <col min="6921" max="6921" width="4.375" style="568" bestFit="1" customWidth="1"/>
    <col min="6922" max="6922" width="8.375" style="568" bestFit="1" customWidth="1"/>
    <col min="6923" max="6925" width="8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5" width="7.625" style="568" bestFit="1" customWidth="1"/>
    <col min="7176" max="7176" width="2.25" style="568" bestFit="1" customWidth="1"/>
    <col min="7177" max="7177" width="4.375" style="568" bestFit="1" customWidth="1"/>
    <col min="7178" max="7178" width="8.375" style="568" bestFit="1" customWidth="1"/>
    <col min="7179" max="7181" width="8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1" width="7.625" style="568" bestFit="1" customWidth="1"/>
    <col min="7432" max="7432" width="2.25" style="568" bestFit="1" customWidth="1"/>
    <col min="7433" max="7433" width="4.375" style="568" bestFit="1" customWidth="1"/>
    <col min="7434" max="7434" width="8.375" style="568" bestFit="1" customWidth="1"/>
    <col min="7435" max="7437" width="8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7" width="7.625" style="568" bestFit="1" customWidth="1"/>
    <col min="7688" max="7688" width="2.25" style="568" bestFit="1" customWidth="1"/>
    <col min="7689" max="7689" width="4.375" style="568" bestFit="1" customWidth="1"/>
    <col min="7690" max="7690" width="8.375" style="568" bestFit="1" customWidth="1"/>
    <col min="7691" max="7693" width="8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3" width="7.625" style="568" bestFit="1" customWidth="1"/>
    <col min="7944" max="7944" width="2.25" style="568" bestFit="1" customWidth="1"/>
    <col min="7945" max="7945" width="4.375" style="568" bestFit="1" customWidth="1"/>
    <col min="7946" max="7946" width="8.375" style="568" bestFit="1" customWidth="1"/>
    <col min="7947" max="7949" width="8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199" width="7.625" style="568" bestFit="1" customWidth="1"/>
    <col min="8200" max="8200" width="2.25" style="568" bestFit="1" customWidth="1"/>
    <col min="8201" max="8201" width="4.375" style="568" bestFit="1" customWidth="1"/>
    <col min="8202" max="8202" width="8.375" style="568" bestFit="1" customWidth="1"/>
    <col min="8203" max="8205" width="8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5" width="7.625" style="568" bestFit="1" customWidth="1"/>
    <col min="8456" max="8456" width="2.25" style="568" bestFit="1" customWidth="1"/>
    <col min="8457" max="8457" width="4.375" style="568" bestFit="1" customWidth="1"/>
    <col min="8458" max="8458" width="8.375" style="568" bestFit="1" customWidth="1"/>
    <col min="8459" max="8461" width="8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1" width="7.625" style="568" bestFit="1" customWidth="1"/>
    <col min="8712" max="8712" width="2.25" style="568" bestFit="1" customWidth="1"/>
    <col min="8713" max="8713" width="4.375" style="568" bestFit="1" customWidth="1"/>
    <col min="8714" max="8714" width="8.375" style="568" bestFit="1" customWidth="1"/>
    <col min="8715" max="8717" width="8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7" width="7.625" style="568" bestFit="1" customWidth="1"/>
    <col min="8968" max="8968" width="2.25" style="568" bestFit="1" customWidth="1"/>
    <col min="8969" max="8969" width="4.375" style="568" bestFit="1" customWidth="1"/>
    <col min="8970" max="8970" width="8.375" style="568" bestFit="1" customWidth="1"/>
    <col min="8971" max="8973" width="8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3" width="7.625" style="568" bestFit="1" customWidth="1"/>
    <col min="9224" max="9224" width="2.25" style="568" bestFit="1" customWidth="1"/>
    <col min="9225" max="9225" width="4.375" style="568" bestFit="1" customWidth="1"/>
    <col min="9226" max="9226" width="8.375" style="568" bestFit="1" customWidth="1"/>
    <col min="9227" max="9229" width="8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79" width="7.625" style="568" bestFit="1" customWidth="1"/>
    <col min="9480" max="9480" width="2.25" style="568" bestFit="1" customWidth="1"/>
    <col min="9481" max="9481" width="4.375" style="568" bestFit="1" customWidth="1"/>
    <col min="9482" max="9482" width="8.375" style="568" bestFit="1" customWidth="1"/>
    <col min="9483" max="9485" width="8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5" width="7.625" style="568" bestFit="1" customWidth="1"/>
    <col min="9736" max="9736" width="2.25" style="568" bestFit="1" customWidth="1"/>
    <col min="9737" max="9737" width="4.375" style="568" bestFit="1" customWidth="1"/>
    <col min="9738" max="9738" width="8.375" style="568" bestFit="1" customWidth="1"/>
    <col min="9739" max="9741" width="8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1" width="7.625" style="568" bestFit="1" customWidth="1"/>
    <col min="9992" max="9992" width="2.25" style="568" bestFit="1" customWidth="1"/>
    <col min="9993" max="9993" width="4.375" style="568" bestFit="1" customWidth="1"/>
    <col min="9994" max="9994" width="8.375" style="568" bestFit="1" customWidth="1"/>
    <col min="9995" max="9997" width="8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7" width="7.625" style="568" bestFit="1" customWidth="1"/>
    <col min="10248" max="10248" width="2.25" style="568" bestFit="1" customWidth="1"/>
    <col min="10249" max="10249" width="4.375" style="568" bestFit="1" customWidth="1"/>
    <col min="10250" max="10250" width="8.375" style="568" bestFit="1" customWidth="1"/>
    <col min="10251" max="10253" width="8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3" width="7.625" style="568" bestFit="1" customWidth="1"/>
    <col min="10504" max="10504" width="2.25" style="568" bestFit="1" customWidth="1"/>
    <col min="10505" max="10505" width="4.375" style="568" bestFit="1" customWidth="1"/>
    <col min="10506" max="10506" width="8.375" style="568" bestFit="1" customWidth="1"/>
    <col min="10507" max="10509" width="8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59" width="7.625" style="568" bestFit="1" customWidth="1"/>
    <col min="10760" max="10760" width="2.25" style="568" bestFit="1" customWidth="1"/>
    <col min="10761" max="10761" width="4.375" style="568" bestFit="1" customWidth="1"/>
    <col min="10762" max="10762" width="8.375" style="568" bestFit="1" customWidth="1"/>
    <col min="10763" max="10765" width="8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5" width="7.625" style="568" bestFit="1" customWidth="1"/>
    <col min="11016" max="11016" width="2.25" style="568" bestFit="1" customWidth="1"/>
    <col min="11017" max="11017" width="4.375" style="568" bestFit="1" customWidth="1"/>
    <col min="11018" max="11018" width="8.375" style="568" bestFit="1" customWidth="1"/>
    <col min="11019" max="11021" width="8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1" width="7.625" style="568" bestFit="1" customWidth="1"/>
    <col min="11272" max="11272" width="2.25" style="568" bestFit="1" customWidth="1"/>
    <col min="11273" max="11273" width="4.375" style="568" bestFit="1" customWidth="1"/>
    <col min="11274" max="11274" width="8.375" style="568" bestFit="1" customWidth="1"/>
    <col min="11275" max="11277" width="8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7" width="7.625" style="568" bestFit="1" customWidth="1"/>
    <col min="11528" max="11528" width="2.25" style="568" bestFit="1" customWidth="1"/>
    <col min="11529" max="11529" width="4.375" style="568" bestFit="1" customWidth="1"/>
    <col min="11530" max="11530" width="8.375" style="568" bestFit="1" customWidth="1"/>
    <col min="11531" max="11533" width="8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3" width="7.625" style="568" bestFit="1" customWidth="1"/>
    <col min="11784" max="11784" width="2.25" style="568" bestFit="1" customWidth="1"/>
    <col min="11785" max="11785" width="4.375" style="568" bestFit="1" customWidth="1"/>
    <col min="11786" max="11786" width="8.375" style="568" bestFit="1" customWidth="1"/>
    <col min="11787" max="11789" width="8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39" width="7.625" style="568" bestFit="1" customWidth="1"/>
    <col min="12040" max="12040" width="2.25" style="568" bestFit="1" customWidth="1"/>
    <col min="12041" max="12041" width="4.375" style="568" bestFit="1" customWidth="1"/>
    <col min="12042" max="12042" width="8.375" style="568" bestFit="1" customWidth="1"/>
    <col min="12043" max="12045" width="8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5" width="7.625" style="568" bestFit="1" customWidth="1"/>
    <col min="12296" max="12296" width="2.25" style="568" bestFit="1" customWidth="1"/>
    <col min="12297" max="12297" width="4.375" style="568" bestFit="1" customWidth="1"/>
    <col min="12298" max="12298" width="8.375" style="568" bestFit="1" customWidth="1"/>
    <col min="12299" max="12301" width="8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1" width="7.625" style="568" bestFit="1" customWidth="1"/>
    <col min="12552" max="12552" width="2.25" style="568" bestFit="1" customWidth="1"/>
    <col min="12553" max="12553" width="4.375" style="568" bestFit="1" customWidth="1"/>
    <col min="12554" max="12554" width="8.375" style="568" bestFit="1" customWidth="1"/>
    <col min="12555" max="12557" width="8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7" width="7.625" style="568" bestFit="1" customWidth="1"/>
    <col min="12808" max="12808" width="2.25" style="568" bestFit="1" customWidth="1"/>
    <col min="12809" max="12809" width="4.375" style="568" bestFit="1" customWidth="1"/>
    <col min="12810" max="12810" width="8.375" style="568" bestFit="1" customWidth="1"/>
    <col min="12811" max="12813" width="8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3" width="7.625" style="568" bestFit="1" customWidth="1"/>
    <col min="13064" max="13064" width="2.25" style="568" bestFit="1" customWidth="1"/>
    <col min="13065" max="13065" width="4.375" style="568" bestFit="1" customWidth="1"/>
    <col min="13066" max="13066" width="8.375" style="568" bestFit="1" customWidth="1"/>
    <col min="13067" max="13069" width="8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19" width="7.625" style="568" bestFit="1" customWidth="1"/>
    <col min="13320" max="13320" width="2.25" style="568" bestFit="1" customWidth="1"/>
    <col min="13321" max="13321" width="4.375" style="568" bestFit="1" customWidth="1"/>
    <col min="13322" max="13322" width="8.375" style="568" bestFit="1" customWidth="1"/>
    <col min="13323" max="13325" width="8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5" width="7.625" style="568" bestFit="1" customWidth="1"/>
    <col min="13576" max="13576" width="2.25" style="568" bestFit="1" customWidth="1"/>
    <col min="13577" max="13577" width="4.375" style="568" bestFit="1" customWidth="1"/>
    <col min="13578" max="13578" width="8.375" style="568" bestFit="1" customWidth="1"/>
    <col min="13579" max="13581" width="8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1" width="7.625" style="568" bestFit="1" customWidth="1"/>
    <col min="13832" max="13832" width="2.25" style="568" bestFit="1" customWidth="1"/>
    <col min="13833" max="13833" width="4.375" style="568" bestFit="1" customWidth="1"/>
    <col min="13834" max="13834" width="8.375" style="568" bestFit="1" customWidth="1"/>
    <col min="13835" max="13837" width="8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7" width="7.625" style="568" bestFit="1" customWidth="1"/>
    <col min="14088" max="14088" width="2.25" style="568" bestFit="1" customWidth="1"/>
    <col min="14089" max="14089" width="4.375" style="568" bestFit="1" customWidth="1"/>
    <col min="14090" max="14090" width="8.375" style="568" bestFit="1" customWidth="1"/>
    <col min="14091" max="14093" width="8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3" width="7.625" style="568" bestFit="1" customWidth="1"/>
    <col min="14344" max="14344" width="2.25" style="568" bestFit="1" customWidth="1"/>
    <col min="14345" max="14345" width="4.375" style="568" bestFit="1" customWidth="1"/>
    <col min="14346" max="14346" width="8.375" style="568" bestFit="1" customWidth="1"/>
    <col min="14347" max="14349" width="8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599" width="7.625" style="568" bestFit="1" customWidth="1"/>
    <col min="14600" max="14600" width="2.25" style="568" bestFit="1" customWidth="1"/>
    <col min="14601" max="14601" width="4.375" style="568" bestFit="1" customWidth="1"/>
    <col min="14602" max="14602" width="8.375" style="568" bestFit="1" customWidth="1"/>
    <col min="14603" max="14605" width="8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5" width="7.625" style="568" bestFit="1" customWidth="1"/>
    <col min="14856" max="14856" width="2.25" style="568" bestFit="1" customWidth="1"/>
    <col min="14857" max="14857" width="4.375" style="568" bestFit="1" customWidth="1"/>
    <col min="14858" max="14858" width="8.375" style="568" bestFit="1" customWidth="1"/>
    <col min="14859" max="14861" width="8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1" width="7.625" style="568" bestFit="1" customWidth="1"/>
    <col min="15112" max="15112" width="2.25" style="568" bestFit="1" customWidth="1"/>
    <col min="15113" max="15113" width="4.375" style="568" bestFit="1" customWidth="1"/>
    <col min="15114" max="15114" width="8.375" style="568" bestFit="1" customWidth="1"/>
    <col min="15115" max="15117" width="8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7" width="7.625" style="568" bestFit="1" customWidth="1"/>
    <col min="15368" max="15368" width="2.25" style="568" bestFit="1" customWidth="1"/>
    <col min="15369" max="15369" width="4.375" style="568" bestFit="1" customWidth="1"/>
    <col min="15370" max="15370" width="8.375" style="568" bestFit="1" customWidth="1"/>
    <col min="15371" max="15373" width="8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3" width="7.625" style="568" bestFit="1" customWidth="1"/>
    <col min="15624" max="15624" width="2.25" style="568" bestFit="1" customWidth="1"/>
    <col min="15625" max="15625" width="4.375" style="568" bestFit="1" customWidth="1"/>
    <col min="15626" max="15626" width="8.375" style="568" bestFit="1" customWidth="1"/>
    <col min="15627" max="15629" width="8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79" width="7.625" style="568" bestFit="1" customWidth="1"/>
    <col min="15880" max="15880" width="2.25" style="568" bestFit="1" customWidth="1"/>
    <col min="15881" max="15881" width="4.375" style="568" bestFit="1" customWidth="1"/>
    <col min="15882" max="15882" width="8.375" style="568" bestFit="1" customWidth="1"/>
    <col min="15883" max="15885" width="8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5" width="7.625" style="568" bestFit="1" customWidth="1"/>
    <col min="16136" max="16136" width="2.25" style="568" bestFit="1" customWidth="1"/>
    <col min="16137" max="16137" width="4.375" style="568" bestFit="1" customWidth="1"/>
    <col min="16138" max="16138" width="8.375" style="568" bestFit="1" customWidth="1"/>
    <col min="16139" max="16141" width="8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839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97</v>
      </c>
      <c r="J9" s="567" t="s">
        <v>327</v>
      </c>
      <c r="K9" s="567" t="s">
        <v>1002</v>
      </c>
      <c r="L9" s="567" t="s">
        <v>1003</v>
      </c>
      <c r="M9" s="567" t="s">
        <v>1004</v>
      </c>
      <c r="N9" s="567" t="s">
        <v>1011</v>
      </c>
      <c r="O9" s="567" t="s">
        <v>1012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9.7916666666666666E-2</v>
      </c>
      <c r="E10" s="567">
        <v>67680</v>
      </c>
      <c r="F10" s="567" t="s">
        <v>1001</v>
      </c>
      <c r="G10" s="567" t="s">
        <v>326</v>
      </c>
      <c r="H10" s="567">
        <v>0</v>
      </c>
      <c r="I10" s="567">
        <v>97</v>
      </c>
      <c r="J10" s="567" t="s">
        <v>327</v>
      </c>
      <c r="K10" s="567" t="s">
        <v>1002</v>
      </c>
      <c r="L10" s="567" t="s">
        <v>1003</v>
      </c>
      <c r="M10" s="567" t="s">
        <v>1004</v>
      </c>
      <c r="N10" s="567" t="s">
        <v>1011</v>
      </c>
      <c r="O10" s="567" t="s">
        <v>1012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0.10416666666666667</v>
      </c>
      <c r="E11" s="567">
        <v>4320</v>
      </c>
      <c r="F11" s="567" t="s">
        <v>1001</v>
      </c>
      <c r="G11" s="567" t="s">
        <v>326</v>
      </c>
      <c r="H11" s="567">
        <v>0</v>
      </c>
      <c r="I11" s="567">
        <v>401</v>
      </c>
      <c r="J11" s="567" t="s">
        <v>327</v>
      </c>
      <c r="K11" s="567" t="s">
        <v>1002</v>
      </c>
      <c r="L11" s="567" t="s">
        <v>1003</v>
      </c>
      <c r="M11" s="567" t="s">
        <v>1004</v>
      </c>
      <c r="N11" s="567" t="s">
        <v>1011</v>
      </c>
      <c r="O11" s="567" t="s">
        <v>1012</v>
      </c>
      <c r="P11" s="567" t="s">
        <v>1007</v>
      </c>
      <c r="Q11" s="567" t="s">
        <v>1008</v>
      </c>
      <c r="R11" s="567">
        <v>80</v>
      </c>
    </row>
    <row r="12" spans="1:18" ht="15" x14ac:dyDescent="0.2">
      <c r="A12" s="567"/>
      <c r="B12" s="567"/>
      <c r="C12" s="567"/>
      <c r="D12" s="569">
        <v>0.26018518518518519</v>
      </c>
      <c r="E12" s="567">
        <v>107840</v>
      </c>
      <c r="F12" s="567" t="s">
        <v>1001</v>
      </c>
      <c r="G12" s="567" t="s">
        <v>326</v>
      </c>
      <c r="H12" s="567">
        <v>0</v>
      </c>
      <c r="I12" s="567">
        <v>401</v>
      </c>
      <c r="J12" s="567" t="s">
        <v>327</v>
      </c>
      <c r="K12" s="567" t="s">
        <v>1002</v>
      </c>
      <c r="L12" s="567" t="s">
        <v>1003</v>
      </c>
      <c r="M12" s="567" t="s">
        <v>1004</v>
      </c>
      <c r="N12" s="567" t="s">
        <v>1011</v>
      </c>
      <c r="O12" s="567" t="s">
        <v>1012</v>
      </c>
      <c r="P12" s="567" t="s">
        <v>1009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0.26018518518518519</v>
      </c>
      <c r="E13" s="567">
        <v>0</v>
      </c>
      <c r="F13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7" width="7.625" style="568" bestFit="1" customWidth="1"/>
    <col min="8" max="8" width="2.25" style="568" bestFit="1" customWidth="1"/>
    <col min="9" max="9" width="3.375" style="568" bestFit="1" customWidth="1"/>
    <col min="10" max="10" width="8.375" style="568" bestFit="1" customWidth="1"/>
    <col min="11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3" width="7.625" style="568" bestFit="1" customWidth="1"/>
    <col min="264" max="264" width="2.25" style="568" bestFit="1" customWidth="1"/>
    <col min="265" max="265" width="3.375" style="568" bestFit="1" customWidth="1"/>
    <col min="266" max="266" width="8.375" style="568" bestFit="1" customWidth="1"/>
    <col min="267" max="269" width="8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19" width="7.625" style="568" bestFit="1" customWidth="1"/>
    <col min="520" max="520" width="2.25" style="568" bestFit="1" customWidth="1"/>
    <col min="521" max="521" width="3.375" style="568" bestFit="1" customWidth="1"/>
    <col min="522" max="522" width="8.375" style="568" bestFit="1" customWidth="1"/>
    <col min="523" max="525" width="8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5" width="7.625" style="568" bestFit="1" customWidth="1"/>
    <col min="776" max="776" width="2.25" style="568" bestFit="1" customWidth="1"/>
    <col min="777" max="777" width="3.375" style="568" bestFit="1" customWidth="1"/>
    <col min="778" max="778" width="8.375" style="568" bestFit="1" customWidth="1"/>
    <col min="779" max="781" width="8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1" width="7.625" style="568" bestFit="1" customWidth="1"/>
    <col min="1032" max="1032" width="2.25" style="568" bestFit="1" customWidth="1"/>
    <col min="1033" max="1033" width="3.375" style="568" bestFit="1" customWidth="1"/>
    <col min="1034" max="1034" width="8.375" style="568" bestFit="1" customWidth="1"/>
    <col min="1035" max="1037" width="8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7" width="7.625" style="568" bestFit="1" customWidth="1"/>
    <col min="1288" max="1288" width="2.25" style="568" bestFit="1" customWidth="1"/>
    <col min="1289" max="1289" width="3.375" style="568" bestFit="1" customWidth="1"/>
    <col min="1290" max="1290" width="8.375" style="568" bestFit="1" customWidth="1"/>
    <col min="1291" max="1293" width="8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3" width="7.625" style="568" bestFit="1" customWidth="1"/>
    <col min="1544" max="1544" width="2.25" style="568" bestFit="1" customWidth="1"/>
    <col min="1545" max="1545" width="3.375" style="568" bestFit="1" customWidth="1"/>
    <col min="1546" max="1546" width="8.375" style="568" bestFit="1" customWidth="1"/>
    <col min="1547" max="1549" width="8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799" width="7.625" style="568" bestFit="1" customWidth="1"/>
    <col min="1800" max="1800" width="2.25" style="568" bestFit="1" customWidth="1"/>
    <col min="1801" max="1801" width="3.375" style="568" bestFit="1" customWidth="1"/>
    <col min="1802" max="1802" width="8.375" style="568" bestFit="1" customWidth="1"/>
    <col min="1803" max="1805" width="8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5" width="7.625" style="568" bestFit="1" customWidth="1"/>
    <col min="2056" max="2056" width="2.25" style="568" bestFit="1" customWidth="1"/>
    <col min="2057" max="2057" width="3.375" style="568" bestFit="1" customWidth="1"/>
    <col min="2058" max="2058" width="8.375" style="568" bestFit="1" customWidth="1"/>
    <col min="2059" max="2061" width="8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1" width="7.625" style="568" bestFit="1" customWidth="1"/>
    <col min="2312" max="2312" width="2.25" style="568" bestFit="1" customWidth="1"/>
    <col min="2313" max="2313" width="3.375" style="568" bestFit="1" customWidth="1"/>
    <col min="2314" max="2314" width="8.375" style="568" bestFit="1" customWidth="1"/>
    <col min="2315" max="2317" width="8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7" width="7.625" style="568" bestFit="1" customWidth="1"/>
    <col min="2568" max="2568" width="2.25" style="568" bestFit="1" customWidth="1"/>
    <col min="2569" max="2569" width="3.375" style="568" bestFit="1" customWidth="1"/>
    <col min="2570" max="2570" width="8.375" style="568" bestFit="1" customWidth="1"/>
    <col min="2571" max="2573" width="8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3" width="7.625" style="568" bestFit="1" customWidth="1"/>
    <col min="2824" max="2824" width="2.25" style="568" bestFit="1" customWidth="1"/>
    <col min="2825" max="2825" width="3.375" style="568" bestFit="1" customWidth="1"/>
    <col min="2826" max="2826" width="8.375" style="568" bestFit="1" customWidth="1"/>
    <col min="2827" max="2829" width="8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79" width="7.625" style="568" bestFit="1" customWidth="1"/>
    <col min="3080" max="3080" width="2.25" style="568" bestFit="1" customWidth="1"/>
    <col min="3081" max="3081" width="3.375" style="568" bestFit="1" customWidth="1"/>
    <col min="3082" max="3082" width="8.375" style="568" bestFit="1" customWidth="1"/>
    <col min="3083" max="3085" width="8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5" width="7.625" style="568" bestFit="1" customWidth="1"/>
    <col min="3336" max="3336" width="2.25" style="568" bestFit="1" customWidth="1"/>
    <col min="3337" max="3337" width="3.375" style="568" bestFit="1" customWidth="1"/>
    <col min="3338" max="3338" width="8.375" style="568" bestFit="1" customWidth="1"/>
    <col min="3339" max="3341" width="8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1" width="7.625" style="568" bestFit="1" customWidth="1"/>
    <col min="3592" max="3592" width="2.25" style="568" bestFit="1" customWidth="1"/>
    <col min="3593" max="3593" width="3.375" style="568" bestFit="1" customWidth="1"/>
    <col min="3594" max="3594" width="8.375" style="568" bestFit="1" customWidth="1"/>
    <col min="3595" max="3597" width="8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7" width="7.625" style="568" bestFit="1" customWidth="1"/>
    <col min="3848" max="3848" width="2.25" style="568" bestFit="1" customWidth="1"/>
    <col min="3849" max="3849" width="3.375" style="568" bestFit="1" customWidth="1"/>
    <col min="3850" max="3850" width="8.375" style="568" bestFit="1" customWidth="1"/>
    <col min="3851" max="3853" width="8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3" width="7.625" style="568" bestFit="1" customWidth="1"/>
    <col min="4104" max="4104" width="2.25" style="568" bestFit="1" customWidth="1"/>
    <col min="4105" max="4105" width="3.375" style="568" bestFit="1" customWidth="1"/>
    <col min="4106" max="4106" width="8.375" style="568" bestFit="1" customWidth="1"/>
    <col min="4107" max="4109" width="8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59" width="7.625" style="568" bestFit="1" customWidth="1"/>
    <col min="4360" max="4360" width="2.25" style="568" bestFit="1" customWidth="1"/>
    <col min="4361" max="4361" width="3.375" style="568" bestFit="1" customWidth="1"/>
    <col min="4362" max="4362" width="8.375" style="568" bestFit="1" customWidth="1"/>
    <col min="4363" max="4365" width="8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5" width="7.625" style="568" bestFit="1" customWidth="1"/>
    <col min="4616" max="4616" width="2.25" style="568" bestFit="1" customWidth="1"/>
    <col min="4617" max="4617" width="3.375" style="568" bestFit="1" customWidth="1"/>
    <col min="4618" max="4618" width="8.375" style="568" bestFit="1" customWidth="1"/>
    <col min="4619" max="4621" width="8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1" width="7.625" style="568" bestFit="1" customWidth="1"/>
    <col min="4872" max="4872" width="2.25" style="568" bestFit="1" customWidth="1"/>
    <col min="4873" max="4873" width="3.375" style="568" bestFit="1" customWidth="1"/>
    <col min="4874" max="4874" width="8.375" style="568" bestFit="1" customWidth="1"/>
    <col min="4875" max="4877" width="8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7" width="7.625" style="568" bestFit="1" customWidth="1"/>
    <col min="5128" max="5128" width="2.25" style="568" bestFit="1" customWidth="1"/>
    <col min="5129" max="5129" width="3.375" style="568" bestFit="1" customWidth="1"/>
    <col min="5130" max="5130" width="8.375" style="568" bestFit="1" customWidth="1"/>
    <col min="5131" max="5133" width="8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3" width="7.625" style="568" bestFit="1" customWidth="1"/>
    <col min="5384" max="5384" width="2.25" style="568" bestFit="1" customWidth="1"/>
    <col min="5385" max="5385" width="3.375" style="568" bestFit="1" customWidth="1"/>
    <col min="5386" max="5386" width="8.375" style="568" bestFit="1" customWidth="1"/>
    <col min="5387" max="5389" width="8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39" width="7.625" style="568" bestFit="1" customWidth="1"/>
    <col min="5640" max="5640" width="2.25" style="568" bestFit="1" customWidth="1"/>
    <col min="5641" max="5641" width="3.375" style="568" bestFit="1" customWidth="1"/>
    <col min="5642" max="5642" width="8.375" style="568" bestFit="1" customWidth="1"/>
    <col min="5643" max="5645" width="8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5" width="7.625" style="568" bestFit="1" customWidth="1"/>
    <col min="5896" max="5896" width="2.25" style="568" bestFit="1" customWidth="1"/>
    <col min="5897" max="5897" width="3.375" style="568" bestFit="1" customWidth="1"/>
    <col min="5898" max="5898" width="8.375" style="568" bestFit="1" customWidth="1"/>
    <col min="5899" max="5901" width="8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1" width="7.625" style="568" bestFit="1" customWidth="1"/>
    <col min="6152" max="6152" width="2.25" style="568" bestFit="1" customWidth="1"/>
    <col min="6153" max="6153" width="3.375" style="568" bestFit="1" customWidth="1"/>
    <col min="6154" max="6154" width="8.375" style="568" bestFit="1" customWidth="1"/>
    <col min="6155" max="6157" width="8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7" width="7.625" style="568" bestFit="1" customWidth="1"/>
    <col min="6408" max="6408" width="2.25" style="568" bestFit="1" customWidth="1"/>
    <col min="6409" max="6409" width="3.375" style="568" bestFit="1" customWidth="1"/>
    <col min="6410" max="6410" width="8.375" style="568" bestFit="1" customWidth="1"/>
    <col min="6411" max="6413" width="8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3" width="7.625" style="568" bestFit="1" customWidth="1"/>
    <col min="6664" max="6664" width="2.25" style="568" bestFit="1" customWidth="1"/>
    <col min="6665" max="6665" width="3.375" style="568" bestFit="1" customWidth="1"/>
    <col min="6666" max="6666" width="8.375" style="568" bestFit="1" customWidth="1"/>
    <col min="6667" max="6669" width="8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19" width="7.625" style="568" bestFit="1" customWidth="1"/>
    <col min="6920" max="6920" width="2.25" style="568" bestFit="1" customWidth="1"/>
    <col min="6921" max="6921" width="3.375" style="568" bestFit="1" customWidth="1"/>
    <col min="6922" max="6922" width="8.375" style="568" bestFit="1" customWidth="1"/>
    <col min="6923" max="6925" width="8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5" width="7.625" style="568" bestFit="1" customWidth="1"/>
    <col min="7176" max="7176" width="2.25" style="568" bestFit="1" customWidth="1"/>
    <col min="7177" max="7177" width="3.375" style="568" bestFit="1" customWidth="1"/>
    <col min="7178" max="7178" width="8.375" style="568" bestFit="1" customWidth="1"/>
    <col min="7179" max="7181" width="8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1" width="7.625" style="568" bestFit="1" customWidth="1"/>
    <col min="7432" max="7432" width="2.25" style="568" bestFit="1" customWidth="1"/>
    <col min="7433" max="7433" width="3.375" style="568" bestFit="1" customWidth="1"/>
    <col min="7434" max="7434" width="8.375" style="568" bestFit="1" customWidth="1"/>
    <col min="7435" max="7437" width="8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7" width="7.625" style="568" bestFit="1" customWidth="1"/>
    <col min="7688" max="7688" width="2.25" style="568" bestFit="1" customWidth="1"/>
    <col min="7689" max="7689" width="3.375" style="568" bestFit="1" customWidth="1"/>
    <col min="7690" max="7690" width="8.375" style="568" bestFit="1" customWidth="1"/>
    <col min="7691" max="7693" width="8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3" width="7.625" style="568" bestFit="1" customWidth="1"/>
    <col min="7944" max="7944" width="2.25" style="568" bestFit="1" customWidth="1"/>
    <col min="7945" max="7945" width="3.375" style="568" bestFit="1" customWidth="1"/>
    <col min="7946" max="7946" width="8.375" style="568" bestFit="1" customWidth="1"/>
    <col min="7947" max="7949" width="8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199" width="7.625" style="568" bestFit="1" customWidth="1"/>
    <col min="8200" max="8200" width="2.25" style="568" bestFit="1" customWidth="1"/>
    <col min="8201" max="8201" width="3.375" style="568" bestFit="1" customWidth="1"/>
    <col min="8202" max="8202" width="8.375" style="568" bestFit="1" customWidth="1"/>
    <col min="8203" max="8205" width="8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5" width="7.625" style="568" bestFit="1" customWidth="1"/>
    <col min="8456" max="8456" width="2.25" style="568" bestFit="1" customWidth="1"/>
    <col min="8457" max="8457" width="3.375" style="568" bestFit="1" customWidth="1"/>
    <col min="8458" max="8458" width="8.375" style="568" bestFit="1" customWidth="1"/>
    <col min="8459" max="8461" width="8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1" width="7.625" style="568" bestFit="1" customWidth="1"/>
    <col min="8712" max="8712" width="2.25" style="568" bestFit="1" customWidth="1"/>
    <col min="8713" max="8713" width="3.375" style="568" bestFit="1" customWidth="1"/>
    <col min="8714" max="8714" width="8.375" style="568" bestFit="1" customWidth="1"/>
    <col min="8715" max="8717" width="8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7" width="7.625" style="568" bestFit="1" customWidth="1"/>
    <col min="8968" max="8968" width="2.25" style="568" bestFit="1" customWidth="1"/>
    <col min="8969" max="8969" width="3.375" style="568" bestFit="1" customWidth="1"/>
    <col min="8970" max="8970" width="8.375" style="568" bestFit="1" customWidth="1"/>
    <col min="8971" max="8973" width="8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3" width="7.625" style="568" bestFit="1" customWidth="1"/>
    <col min="9224" max="9224" width="2.25" style="568" bestFit="1" customWidth="1"/>
    <col min="9225" max="9225" width="3.375" style="568" bestFit="1" customWidth="1"/>
    <col min="9226" max="9226" width="8.375" style="568" bestFit="1" customWidth="1"/>
    <col min="9227" max="9229" width="8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79" width="7.625" style="568" bestFit="1" customWidth="1"/>
    <col min="9480" max="9480" width="2.25" style="568" bestFit="1" customWidth="1"/>
    <col min="9481" max="9481" width="3.375" style="568" bestFit="1" customWidth="1"/>
    <col min="9482" max="9482" width="8.375" style="568" bestFit="1" customWidth="1"/>
    <col min="9483" max="9485" width="8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5" width="7.625" style="568" bestFit="1" customWidth="1"/>
    <col min="9736" max="9736" width="2.25" style="568" bestFit="1" customWidth="1"/>
    <col min="9737" max="9737" width="3.375" style="568" bestFit="1" customWidth="1"/>
    <col min="9738" max="9738" width="8.375" style="568" bestFit="1" customWidth="1"/>
    <col min="9739" max="9741" width="8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1" width="7.625" style="568" bestFit="1" customWidth="1"/>
    <col min="9992" max="9992" width="2.25" style="568" bestFit="1" customWidth="1"/>
    <col min="9993" max="9993" width="3.375" style="568" bestFit="1" customWidth="1"/>
    <col min="9994" max="9994" width="8.375" style="568" bestFit="1" customWidth="1"/>
    <col min="9995" max="9997" width="8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7" width="7.625" style="568" bestFit="1" customWidth="1"/>
    <col min="10248" max="10248" width="2.25" style="568" bestFit="1" customWidth="1"/>
    <col min="10249" max="10249" width="3.375" style="568" bestFit="1" customWidth="1"/>
    <col min="10250" max="10250" width="8.375" style="568" bestFit="1" customWidth="1"/>
    <col min="10251" max="10253" width="8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3" width="7.625" style="568" bestFit="1" customWidth="1"/>
    <col min="10504" max="10504" width="2.25" style="568" bestFit="1" customWidth="1"/>
    <col min="10505" max="10505" width="3.375" style="568" bestFit="1" customWidth="1"/>
    <col min="10506" max="10506" width="8.375" style="568" bestFit="1" customWidth="1"/>
    <col min="10507" max="10509" width="8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59" width="7.625" style="568" bestFit="1" customWidth="1"/>
    <col min="10760" max="10760" width="2.25" style="568" bestFit="1" customWidth="1"/>
    <col min="10761" max="10761" width="3.375" style="568" bestFit="1" customWidth="1"/>
    <col min="10762" max="10762" width="8.375" style="568" bestFit="1" customWidth="1"/>
    <col min="10763" max="10765" width="8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5" width="7.625" style="568" bestFit="1" customWidth="1"/>
    <col min="11016" max="11016" width="2.25" style="568" bestFit="1" customWidth="1"/>
    <col min="11017" max="11017" width="3.375" style="568" bestFit="1" customWidth="1"/>
    <col min="11018" max="11018" width="8.375" style="568" bestFit="1" customWidth="1"/>
    <col min="11019" max="11021" width="8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1" width="7.625" style="568" bestFit="1" customWidth="1"/>
    <col min="11272" max="11272" width="2.25" style="568" bestFit="1" customWidth="1"/>
    <col min="11273" max="11273" width="3.375" style="568" bestFit="1" customWidth="1"/>
    <col min="11274" max="11274" width="8.375" style="568" bestFit="1" customWidth="1"/>
    <col min="11275" max="11277" width="8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7" width="7.625" style="568" bestFit="1" customWidth="1"/>
    <col min="11528" max="11528" width="2.25" style="568" bestFit="1" customWidth="1"/>
    <col min="11529" max="11529" width="3.375" style="568" bestFit="1" customWidth="1"/>
    <col min="11530" max="11530" width="8.375" style="568" bestFit="1" customWidth="1"/>
    <col min="11531" max="11533" width="8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3" width="7.625" style="568" bestFit="1" customWidth="1"/>
    <col min="11784" max="11784" width="2.25" style="568" bestFit="1" customWidth="1"/>
    <col min="11785" max="11785" width="3.375" style="568" bestFit="1" customWidth="1"/>
    <col min="11786" max="11786" width="8.375" style="568" bestFit="1" customWidth="1"/>
    <col min="11787" max="11789" width="8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39" width="7.625" style="568" bestFit="1" customWidth="1"/>
    <col min="12040" max="12040" width="2.25" style="568" bestFit="1" customWidth="1"/>
    <col min="12041" max="12041" width="3.375" style="568" bestFit="1" customWidth="1"/>
    <col min="12042" max="12042" width="8.375" style="568" bestFit="1" customWidth="1"/>
    <col min="12043" max="12045" width="8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5" width="7.625" style="568" bestFit="1" customWidth="1"/>
    <col min="12296" max="12296" width="2.25" style="568" bestFit="1" customWidth="1"/>
    <col min="12297" max="12297" width="3.375" style="568" bestFit="1" customWidth="1"/>
    <col min="12298" max="12298" width="8.375" style="568" bestFit="1" customWidth="1"/>
    <col min="12299" max="12301" width="8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1" width="7.625" style="568" bestFit="1" customWidth="1"/>
    <col min="12552" max="12552" width="2.25" style="568" bestFit="1" customWidth="1"/>
    <col min="12553" max="12553" width="3.375" style="568" bestFit="1" customWidth="1"/>
    <col min="12554" max="12554" width="8.375" style="568" bestFit="1" customWidth="1"/>
    <col min="12555" max="12557" width="8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7" width="7.625" style="568" bestFit="1" customWidth="1"/>
    <col min="12808" max="12808" width="2.25" style="568" bestFit="1" customWidth="1"/>
    <col min="12809" max="12809" width="3.375" style="568" bestFit="1" customWidth="1"/>
    <col min="12810" max="12810" width="8.375" style="568" bestFit="1" customWidth="1"/>
    <col min="12811" max="12813" width="8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3" width="7.625" style="568" bestFit="1" customWidth="1"/>
    <col min="13064" max="13064" width="2.25" style="568" bestFit="1" customWidth="1"/>
    <col min="13065" max="13065" width="3.375" style="568" bestFit="1" customWidth="1"/>
    <col min="13066" max="13066" width="8.375" style="568" bestFit="1" customWidth="1"/>
    <col min="13067" max="13069" width="8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19" width="7.625" style="568" bestFit="1" customWidth="1"/>
    <col min="13320" max="13320" width="2.25" style="568" bestFit="1" customWidth="1"/>
    <col min="13321" max="13321" width="3.375" style="568" bestFit="1" customWidth="1"/>
    <col min="13322" max="13322" width="8.375" style="568" bestFit="1" customWidth="1"/>
    <col min="13323" max="13325" width="8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5" width="7.625" style="568" bestFit="1" customWidth="1"/>
    <col min="13576" max="13576" width="2.25" style="568" bestFit="1" customWidth="1"/>
    <col min="13577" max="13577" width="3.375" style="568" bestFit="1" customWidth="1"/>
    <col min="13578" max="13578" width="8.375" style="568" bestFit="1" customWidth="1"/>
    <col min="13579" max="13581" width="8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1" width="7.625" style="568" bestFit="1" customWidth="1"/>
    <col min="13832" max="13832" width="2.25" style="568" bestFit="1" customWidth="1"/>
    <col min="13833" max="13833" width="3.375" style="568" bestFit="1" customWidth="1"/>
    <col min="13834" max="13834" width="8.375" style="568" bestFit="1" customWidth="1"/>
    <col min="13835" max="13837" width="8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7" width="7.625" style="568" bestFit="1" customWidth="1"/>
    <col min="14088" max="14088" width="2.25" style="568" bestFit="1" customWidth="1"/>
    <col min="14089" max="14089" width="3.375" style="568" bestFit="1" customWidth="1"/>
    <col min="14090" max="14090" width="8.375" style="568" bestFit="1" customWidth="1"/>
    <col min="14091" max="14093" width="8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3" width="7.625" style="568" bestFit="1" customWidth="1"/>
    <col min="14344" max="14344" width="2.25" style="568" bestFit="1" customWidth="1"/>
    <col min="14345" max="14345" width="3.375" style="568" bestFit="1" customWidth="1"/>
    <col min="14346" max="14346" width="8.375" style="568" bestFit="1" customWidth="1"/>
    <col min="14347" max="14349" width="8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599" width="7.625" style="568" bestFit="1" customWidth="1"/>
    <col min="14600" max="14600" width="2.25" style="568" bestFit="1" customWidth="1"/>
    <col min="14601" max="14601" width="3.375" style="568" bestFit="1" customWidth="1"/>
    <col min="14602" max="14602" width="8.375" style="568" bestFit="1" customWidth="1"/>
    <col min="14603" max="14605" width="8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5" width="7.625" style="568" bestFit="1" customWidth="1"/>
    <col min="14856" max="14856" width="2.25" style="568" bestFit="1" customWidth="1"/>
    <col min="14857" max="14857" width="3.375" style="568" bestFit="1" customWidth="1"/>
    <col min="14858" max="14858" width="8.375" style="568" bestFit="1" customWidth="1"/>
    <col min="14859" max="14861" width="8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1" width="7.625" style="568" bestFit="1" customWidth="1"/>
    <col min="15112" max="15112" width="2.25" style="568" bestFit="1" customWidth="1"/>
    <col min="15113" max="15113" width="3.375" style="568" bestFit="1" customWidth="1"/>
    <col min="15114" max="15114" width="8.375" style="568" bestFit="1" customWidth="1"/>
    <col min="15115" max="15117" width="8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7" width="7.625" style="568" bestFit="1" customWidth="1"/>
    <col min="15368" max="15368" width="2.25" style="568" bestFit="1" customWidth="1"/>
    <col min="15369" max="15369" width="3.375" style="568" bestFit="1" customWidth="1"/>
    <col min="15370" max="15370" width="8.375" style="568" bestFit="1" customWidth="1"/>
    <col min="15371" max="15373" width="8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3" width="7.625" style="568" bestFit="1" customWidth="1"/>
    <col min="15624" max="15624" width="2.25" style="568" bestFit="1" customWidth="1"/>
    <col min="15625" max="15625" width="3.375" style="568" bestFit="1" customWidth="1"/>
    <col min="15626" max="15626" width="8.375" style="568" bestFit="1" customWidth="1"/>
    <col min="15627" max="15629" width="8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79" width="7.625" style="568" bestFit="1" customWidth="1"/>
    <col min="15880" max="15880" width="2.25" style="568" bestFit="1" customWidth="1"/>
    <col min="15881" max="15881" width="3.375" style="568" bestFit="1" customWidth="1"/>
    <col min="15882" max="15882" width="8.375" style="568" bestFit="1" customWidth="1"/>
    <col min="15883" max="15885" width="8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5" width="7.625" style="568" bestFit="1" customWidth="1"/>
    <col min="16136" max="16136" width="2.25" style="568" bestFit="1" customWidth="1"/>
    <col min="16137" max="16137" width="3.375" style="568" bestFit="1" customWidth="1"/>
    <col min="16138" max="16138" width="8.375" style="568" bestFit="1" customWidth="1"/>
    <col min="16139" max="16141" width="8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846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97</v>
      </c>
      <c r="J9" s="567" t="s">
        <v>327</v>
      </c>
      <c r="K9" s="567" t="s">
        <v>1002</v>
      </c>
      <c r="L9" s="567" t="s">
        <v>1003</v>
      </c>
      <c r="M9" s="567" t="s">
        <v>1004</v>
      </c>
      <c r="N9" s="567" t="s">
        <v>1011</v>
      </c>
      <c r="O9" s="567" t="s">
        <v>1012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4.3078703703703702E-2</v>
      </c>
      <c r="E10" s="567">
        <v>29776</v>
      </c>
      <c r="F10" s="567" t="s">
        <v>1001</v>
      </c>
      <c r="G10" s="567" t="s">
        <v>326</v>
      </c>
      <c r="H10" s="567">
        <v>0</v>
      </c>
      <c r="I10" s="567">
        <v>97</v>
      </c>
      <c r="J10" s="567" t="s">
        <v>327</v>
      </c>
      <c r="K10" s="567" t="s">
        <v>1002</v>
      </c>
      <c r="L10" s="567" t="s">
        <v>1003</v>
      </c>
      <c r="M10" s="567" t="s">
        <v>1004</v>
      </c>
      <c r="N10" s="567" t="s">
        <v>1011</v>
      </c>
      <c r="O10" s="567" t="s">
        <v>1012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4.5833333333333337E-2</v>
      </c>
      <c r="E11" s="567">
        <v>1904</v>
      </c>
      <c r="F11" s="567" t="s">
        <v>1001</v>
      </c>
      <c r="G11" s="567" t="s">
        <v>326</v>
      </c>
      <c r="H11" s="567">
        <v>0</v>
      </c>
      <c r="I11" s="567">
        <v>39</v>
      </c>
      <c r="J11" s="567" t="s">
        <v>327</v>
      </c>
      <c r="K11" s="567" t="s">
        <v>1002</v>
      </c>
      <c r="L11" s="567" t="s">
        <v>1003</v>
      </c>
      <c r="M11" s="567" t="s">
        <v>1004</v>
      </c>
      <c r="N11" s="567" t="s">
        <v>1013</v>
      </c>
      <c r="O11" s="567" t="s">
        <v>1014</v>
      </c>
      <c r="P11" s="567" t="s">
        <v>1007</v>
      </c>
      <c r="Q11" s="567" t="s">
        <v>1008</v>
      </c>
      <c r="R11" s="567">
        <v>80</v>
      </c>
    </row>
    <row r="12" spans="1:18" ht="15" x14ac:dyDescent="0.2">
      <c r="A12" s="567"/>
      <c r="B12" s="567"/>
      <c r="C12" s="567"/>
      <c r="D12" s="569">
        <v>7.8472222222222221E-2</v>
      </c>
      <c r="E12" s="567">
        <v>22560</v>
      </c>
      <c r="F12" s="567" t="s">
        <v>1001</v>
      </c>
      <c r="G12" s="567" t="s">
        <v>326</v>
      </c>
      <c r="H12" s="567">
        <v>0</v>
      </c>
      <c r="I12" s="567">
        <v>39</v>
      </c>
      <c r="J12" s="567" t="s">
        <v>327</v>
      </c>
      <c r="K12" s="567" t="s">
        <v>1002</v>
      </c>
      <c r="L12" s="567" t="s">
        <v>1003</v>
      </c>
      <c r="M12" s="567" t="s">
        <v>1004</v>
      </c>
      <c r="N12" s="567" t="s">
        <v>1013</v>
      </c>
      <c r="O12" s="567" t="s">
        <v>1014</v>
      </c>
      <c r="P12" s="567" t="s">
        <v>1009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8.0555555555555561E-2</v>
      </c>
      <c r="E13" s="567">
        <v>1440</v>
      </c>
      <c r="F13" s="567" t="s">
        <v>1001</v>
      </c>
      <c r="G13" s="567" t="s">
        <v>326</v>
      </c>
      <c r="H13" s="567">
        <v>0</v>
      </c>
      <c r="I13" s="567">
        <v>39</v>
      </c>
      <c r="J13" s="567" t="s">
        <v>327</v>
      </c>
      <c r="K13" s="567" t="s">
        <v>1002</v>
      </c>
      <c r="L13" s="567" t="s">
        <v>1003</v>
      </c>
      <c r="M13" s="567" t="s">
        <v>1004</v>
      </c>
      <c r="N13" s="567" t="s">
        <v>1011</v>
      </c>
      <c r="O13" s="567" t="s">
        <v>1012</v>
      </c>
      <c r="P13" s="567" t="s">
        <v>1007</v>
      </c>
      <c r="Q13" s="567" t="s">
        <v>1008</v>
      </c>
      <c r="R13" s="567">
        <v>80</v>
      </c>
    </row>
    <row r="14" spans="1:18" ht="15" x14ac:dyDescent="0.2">
      <c r="A14" s="567"/>
      <c r="B14" s="567"/>
      <c r="C14" s="567"/>
      <c r="D14" s="569">
        <v>0.11972222222222222</v>
      </c>
      <c r="E14" s="567">
        <v>27072</v>
      </c>
      <c r="F14" s="567" t="s">
        <v>1001</v>
      </c>
      <c r="G14" s="567" t="s">
        <v>326</v>
      </c>
      <c r="H14" s="567">
        <v>0</v>
      </c>
      <c r="I14" s="567">
        <v>39</v>
      </c>
      <c r="J14" s="567" t="s">
        <v>327</v>
      </c>
      <c r="K14" s="567" t="s">
        <v>1002</v>
      </c>
      <c r="L14" s="567" t="s">
        <v>1003</v>
      </c>
      <c r="M14" s="567" t="s">
        <v>1004</v>
      </c>
      <c r="N14" s="567" t="s">
        <v>1011</v>
      </c>
      <c r="O14" s="567" t="s">
        <v>1012</v>
      </c>
      <c r="P14" s="567" t="s">
        <v>1009</v>
      </c>
      <c r="Q14" s="567" t="s">
        <v>1008</v>
      </c>
      <c r="R14" s="567">
        <v>80</v>
      </c>
    </row>
    <row r="15" spans="1:18" ht="15" x14ac:dyDescent="0.2">
      <c r="A15" s="567"/>
      <c r="B15" s="567"/>
      <c r="C15" s="567"/>
      <c r="D15" s="569">
        <v>0.11972222222222222</v>
      </c>
      <c r="E15" s="567">
        <v>0</v>
      </c>
      <c r="F15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"/>
  <sheetViews>
    <sheetView workbookViewId="0"/>
  </sheetViews>
  <sheetFormatPr defaultColWidth="9"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7" width="7.625" style="568" bestFit="1" customWidth="1"/>
    <col min="8" max="8" width="2.25" style="568" bestFit="1" customWidth="1"/>
    <col min="9" max="9" width="3.375" style="568" bestFit="1" customWidth="1"/>
    <col min="10" max="10" width="8.375" style="568" bestFit="1" customWidth="1"/>
    <col min="11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16384" width="9" style="568"/>
  </cols>
  <sheetData>
    <row r="2" spans="1:18" ht="15" x14ac:dyDescent="0.2">
      <c r="A2" s="570"/>
      <c r="B2" s="570" t="s">
        <v>320</v>
      </c>
      <c r="C2" s="570">
        <v>851</v>
      </c>
    </row>
    <row r="7" spans="1:18" ht="15" x14ac:dyDescent="0.2">
      <c r="A7" s="570"/>
      <c r="B7" s="570"/>
      <c r="C7" s="570"/>
      <c r="D7" s="570" t="s">
        <v>321</v>
      </c>
      <c r="E7" s="570" t="s">
        <v>322</v>
      </c>
      <c r="F7" s="570" t="s">
        <v>323</v>
      </c>
    </row>
    <row r="9" spans="1:18" ht="15" x14ac:dyDescent="0.2">
      <c r="A9" s="570"/>
      <c r="B9" s="570"/>
      <c r="C9" s="570"/>
      <c r="D9" s="571">
        <v>0</v>
      </c>
      <c r="E9" s="570">
        <v>0</v>
      </c>
      <c r="F9" s="570" t="s">
        <v>1001</v>
      </c>
      <c r="G9" s="570" t="s">
        <v>326</v>
      </c>
      <c r="H9" s="570">
        <v>0</v>
      </c>
      <c r="I9" s="570">
        <v>39</v>
      </c>
      <c r="J9" s="570" t="s">
        <v>327</v>
      </c>
      <c r="K9" s="570" t="s">
        <v>1002</v>
      </c>
      <c r="L9" s="570" t="s">
        <v>1003</v>
      </c>
      <c r="M9" s="570" t="s">
        <v>1004</v>
      </c>
      <c r="N9" s="570" t="s">
        <v>1011</v>
      </c>
      <c r="O9" s="570" t="s">
        <v>1012</v>
      </c>
      <c r="P9" s="570" t="s">
        <v>1007</v>
      </c>
      <c r="Q9" s="570" t="s">
        <v>1008</v>
      </c>
      <c r="R9" s="570">
        <v>80</v>
      </c>
    </row>
    <row r="10" spans="1:18" ht="15" x14ac:dyDescent="0.2">
      <c r="A10" s="570"/>
      <c r="B10" s="570"/>
      <c r="C10" s="570"/>
      <c r="D10" s="571">
        <v>2.6388888888888889E-2</v>
      </c>
      <c r="E10" s="570">
        <v>18240</v>
      </c>
      <c r="F10" s="570" t="s">
        <v>1001</v>
      </c>
      <c r="G10" s="570" t="s">
        <v>326</v>
      </c>
      <c r="H10" s="570">
        <v>0</v>
      </c>
      <c r="I10" s="570">
        <v>39</v>
      </c>
      <c r="J10" s="570" t="s">
        <v>327</v>
      </c>
      <c r="K10" s="570" t="s">
        <v>1002</v>
      </c>
      <c r="L10" s="570" t="s">
        <v>1003</v>
      </c>
      <c r="M10" s="570" t="s">
        <v>1004</v>
      </c>
      <c r="N10" s="570" t="s">
        <v>1011</v>
      </c>
      <c r="O10" s="570" t="s">
        <v>1012</v>
      </c>
      <c r="P10" s="570" t="s">
        <v>1009</v>
      </c>
      <c r="Q10" s="570" t="s">
        <v>1008</v>
      </c>
      <c r="R10" s="570">
        <v>80</v>
      </c>
    </row>
    <row r="11" spans="1:18" ht="15" x14ac:dyDescent="0.2">
      <c r="A11" s="570"/>
      <c r="B11" s="570"/>
      <c r="C11" s="570"/>
      <c r="D11" s="571">
        <v>2.8472222222222222E-2</v>
      </c>
      <c r="E11" s="570">
        <v>1440</v>
      </c>
      <c r="F11" s="570" t="s">
        <v>1001</v>
      </c>
      <c r="G11" s="570" t="s">
        <v>326</v>
      </c>
      <c r="H11" s="570">
        <v>0</v>
      </c>
      <c r="I11" s="570">
        <v>39</v>
      </c>
      <c r="J11" s="570" t="s">
        <v>327</v>
      </c>
      <c r="K11" s="570" t="s">
        <v>1002</v>
      </c>
      <c r="L11" s="570" t="s">
        <v>1003</v>
      </c>
      <c r="M11" s="570" t="s">
        <v>1004</v>
      </c>
      <c r="N11" s="570" t="s">
        <v>1011</v>
      </c>
      <c r="O11" s="570" t="s">
        <v>1012</v>
      </c>
      <c r="P11" s="570" t="s">
        <v>1007</v>
      </c>
      <c r="Q11" s="570" t="s">
        <v>1008</v>
      </c>
      <c r="R11" s="570">
        <v>80</v>
      </c>
    </row>
    <row r="12" spans="1:18" ht="15" x14ac:dyDescent="0.2">
      <c r="A12" s="570"/>
      <c r="B12" s="570"/>
      <c r="C12" s="570"/>
      <c r="D12" s="571">
        <v>8.4722222222222213E-2</v>
      </c>
      <c r="E12" s="570">
        <v>38880</v>
      </c>
      <c r="F12" s="570" t="s">
        <v>1001</v>
      </c>
      <c r="G12" s="570" t="s">
        <v>326</v>
      </c>
      <c r="H12" s="570">
        <v>0</v>
      </c>
      <c r="I12" s="570">
        <v>39</v>
      </c>
      <c r="J12" s="570" t="s">
        <v>327</v>
      </c>
      <c r="K12" s="570" t="s">
        <v>1002</v>
      </c>
      <c r="L12" s="570" t="s">
        <v>1003</v>
      </c>
      <c r="M12" s="570" t="s">
        <v>1004</v>
      </c>
      <c r="N12" s="570" t="s">
        <v>1011</v>
      </c>
      <c r="O12" s="570" t="s">
        <v>1012</v>
      </c>
      <c r="P12" s="570" t="s">
        <v>1009</v>
      </c>
      <c r="Q12" s="570" t="s">
        <v>1008</v>
      </c>
      <c r="R12" s="570">
        <v>80</v>
      </c>
    </row>
    <row r="13" spans="1:18" ht="15" x14ac:dyDescent="0.2">
      <c r="A13" s="570"/>
      <c r="B13" s="570"/>
      <c r="C13" s="570"/>
      <c r="D13" s="571">
        <v>8.6805555555555566E-2</v>
      </c>
      <c r="E13" s="570">
        <v>1440</v>
      </c>
      <c r="F13" s="570" t="s">
        <v>1001</v>
      </c>
      <c r="G13" s="570" t="s">
        <v>326</v>
      </c>
      <c r="H13" s="570">
        <v>0</v>
      </c>
      <c r="I13" s="570">
        <v>39</v>
      </c>
      <c r="J13" s="570" t="s">
        <v>327</v>
      </c>
      <c r="K13" s="570" t="s">
        <v>1002</v>
      </c>
      <c r="L13" s="570" t="s">
        <v>1003</v>
      </c>
      <c r="M13" s="570" t="s">
        <v>1004</v>
      </c>
      <c r="N13" s="570" t="s">
        <v>1011</v>
      </c>
      <c r="O13" s="570" t="s">
        <v>1012</v>
      </c>
      <c r="P13" s="570" t="s">
        <v>1007</v>
      </c>
      <c r="Q13" s="570" t="s">
        <v>1008</v>
      </c>
      <c r="R13" s="570">
        <v>80</v>
      </c>
    </row>
    <row r="14" spans="1:18" ht="15" x14ac:dyDescent="0.2">
      <c r="A14" s="570"/>
      <c r="B14" s="570"/>
      <c r="C14" s="570"/>
      <c r="D14" s="571">
        <v>8.6805555555555566E-2</v>
      </c>
      <c r="E14" s="570">
        <v>0</v>
      </c>
      <c r="F14" s="570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7" width="7.625" style="568" bestFit="1" customWidth="1"/>
    <col min="8" max="8" width="2.25" style="568" bestFit="1" customWidth="1"/>
    <col min="9" max="9" width="3.375" style="568" bestFit="1" customWidth="1"/>
    <col min="10" max="10" width="8.375" style="568" bestFit="1" customWidth="1"/>
    <col min="11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3" width="7.625" style="568" bestFit="1" customWidth="1"/>
    <col min="264" max="264" width="2.25" style="568" bestFit="1" customWidth="1"/>
    <col min="265" max="265" width="3.375" style="568" bestFit="1" customWidth="1"/>
    <col min="266" max="266" width="8.375" style="568" bestFit="1" customWidth="1"/>
    <col min="267" max="269" width="8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19" width="7.625" style="568" bestFit="1" customWidth="1"/>
    <col min="520" max="520" width="2.25" style="568" bestFit="1" customWidth="1"/>
    <col min="521" max="521" width="3.375" style="568" bestFit="1" customWidth="1"/>
    <col min="522" max="522" width="8.375" style="568" bestFit="1" customWidth="1"/>
    <col min="523" max="525" width="8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5" width="7.625" style="568" bestFit="1" customWidth="1"/>
    <col min="776" max="776" width="2.25" style="568" bestFit="1" customWidth="1"/>
    <col min="777" max="777" width="3.375" style="568" bestFit="1" customWidth="1"/>
    <col min="778" max="778" width="8.375" style="568" bestFit="1" customWidth="1"/>
    <col min="779" max="781" width="8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1" width="7.625" style="568" bestFit="1" customWidth="1"/>
    <col min="1032" max="1032" width="2.25" style="568" bestFit="1" customWidth="1"/>
    <col min="1033" max="1033" width="3.375" style="568" bestFit="1" customWidth="1"/>
    <col min="1034" max="1034" width="8.375" style="568" bestFit="1" customWidth="1"/>
    <col min="1035" max="1037" width="8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7" width="7.625" style="568" bestFit="1" customWidth="1"/>
    <col min="1288" max="1288" width="2.25" style="568" bestFit="1" customWidth="1"/>
    <col min="1289" max="1289" width="3.375" style="568" bestFit="1" customWidth="1"/>
    <col min="1290" max="1290" width="8.375" style="568" bestFit="1" customWidth="1"/>
    <col min="1291" max="1293" width="8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3" width="7.625" style="568" bestFit="1" customWidth="1"/>
    <col min="1544" max="1544" width="2.25" style="568" bestFit="1" customWidth="1"/>
    <col min="1545" max="1545" width="3.375" style="568" bestFit="1" customWidth="1"/>
    <col min="1546" max="1546" width="8.375" style="568" bestFit="1" customWidth="1"/>
    <col min="1547" max="1549" width="8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799" width="7.625" style="568" bestFit="1" customWidth="1"/>
    <col min="1800" max="1800" width="2.25" style="568" bestFit="1" customWidth="1"/>
    <col min="1801" max="1801" width="3.375" style="568" bestFit="1" customWidth="1"/>
    <col min="1802" max="1802" width="8.375" style="568" bestFit="1" customWidth="1"/>
    <col min="1803" max="1805" width="8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5" width="7.625" style="568" bestFit="1" customWidth="1"/>
    <col min="2056" max="2056" width="2.25" style="568" bestFit="1" customWidth="1"/>
    <col min="2057" max="2057" width="3.375" style="568" bestFit="1" customWidth="1"/>
    <col min="2058" max="2058" width="8.375" style="568" bestFit="1" customWidth="1"/>
    <col min="2059" max="2061" width="8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1" width="7.625" style="568" bestFit="1" customWidth="1"/>
    <col min="2312" max="2312" width="2.25" style="568" bestFit="1" customWidth="1"/>
    <col min="2313" max="2313" width="3.375" style="568" bestFit="1" customWidth="1"/>
    <col min="2314" max="2314" width="8.375" style="568" bestFit="1" customWidth="1"/>
    <col min="2315" max="2317" width="8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7" width="7.625" style="568" bestFit="1" customWidth="1"/>
    <col min="2568" max="2568" width="2.25" style="568" bestFit="1" customWidth="1"/>
    <col min="2569" max="2569" width="3.375" style="568" bestFit="1" customWidth="1"/>
    <col min="2570" max="2570" width="8.375" style="568" bestFit="1" customWidth="1"/>
    <col min="2571" max="2573" width="8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3" width="7.625" style="568" bestFit="1" customWidth="1"/>
    <col min="2824" max="2824" width="2.25" style="568" bestFit="1" customWidth="1"/>
    <col min="2825" max="2825" width="3.375" style="568" bestFit="1" customWidth="1"/>
    <col min="2826" max="2826" width="8.375" style="568" bestFit="1" customWidth="1"/>
    <col min="2827" max="2829" width="8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79" width="7.625" style="568" bestFit="1" customWidth="1"/>
    <col min="3080" max="3080" width="2.25" style="568" bestFit="1" customWidth="1"/>
    <col min="3081" max="3081" width="3.375" style="568" bestFit="1" customWidth="1"/>
    <col min="3082" max="3082" width="8.375" style="568" bestFit="1" customWidth="1"/>
    <col min="3083" max="3085" width="8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5" width="7.625" style="568" bestFit="1" customWidth="1"/>
    <col min="3336" max="3336" width="2.25" style="568" bestFit="1" customWidth="1"/>
    <col min="3337" max="3337" width="3.375" style="568" bestFit="1" customWidth="1"/>
    <col min="3338" max="3338" width="8.375" style="568" bestFit="1" customWidth="1"/>
    <col min="3339" max="3341" width="8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1" width="7.625" style="568" bestFit="1" customWidth="1"/>
    <col min="3592" max="3592" width="2.25" style="568" bestFit="1" customWidth="1"/>
    <col min="3593" max="3593" width="3.375" style="568" bestFit="1" customWidth="1"/>
    <col min="3594" max="3594" width="8.375" style="568" bestFit="1" customWidth="1"/>
    <col min="3595" max="3597" width="8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7" width="7.625" style="568" bestFit="1" customWidth="1"/>
    <col min="3848" max="3848" width="2.25" style="568" bestFit="1" customWidth="1"/>
    <col min="3849" max="3849" width="3.375" style="568" bestFit="1" customWidth="1"/>
    <col min="3850" max="3850" width="8.375" style="568" bestFit="1" customWidth="1"/>
    <col min="3851" max="3853" width="8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3" width="7.625" style="568" bestFit="1" customWidth="1"/>
    <col min="4104" max="4104" width="2.25" style="568" bestFit="1" customWidth="1"/>
    <col min="4105" max="4105" width="3.375" style="568" bestFit="1" customWidth="1"/>
    <col min="4106" max="4106" width="8.375" style="568" bestFit="1" customWidth="1"/>
    <col min="4107" max="4109" width="8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59" width="7.625" style="568" bestFit="1" customWidth="1"/>
    <col min="4360" max="4360" width="2.25" style="568" bestFit="1" customWidth="1"/>
    <col min="4361" max="4361" width="3.375" style="568" bestFit="1" customWidth="1"/>
    <col min="4362" max="4362" width="8.375" style="568" bestFit="1" customWidth="1"/>
    <col min="4363" max="4365" width="8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5" width="7.625" style="568" bestFit="1" customWidth="1"/>
    <col min="4616" max="4616" width="2.25" style="568" bestFit="1" customWidth="1"/>
    <col min="4617" max="4617" width="3.375" style="568" bestFit="1" customWidth="1"/>
    <col min="4618" max="4618" width="8.375" style="568" bestFit="1" customWidth="1"/>
    <col min="4619" max="4621" width="8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1" width="7.625" style="568" bestFit="1" customWidth="1"/>
    <col min="4872" max="4872" width="2.25" style="568" bestFit="1" customWidth="1"/>
    <col min="4873" max="4873" width="3.375" style="568" bestFit="1" customWidth="1"/>
    <col min="4874" max="4874" width="8.375" style="568" bestFit="1" customWidth="1"/>
    <col min="4875" max="4877" width="8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7" width="7.625" style="568" bestFit="1" customWidth="1"/>
    <col min="5128" max="5128" width="2.25" style="568" bestFit="1" customWidth="1"/>
    <col min="5129" max="5129" width="3.375" style="568" bestFit="1" customWidth="1"/>
    <col min="5130" max="5130" width="8.375" style="568" bestFit="1" customWidth="1"/>
    <col min="5131" max="5133" width="8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3" width="7.625" style="568" bestFit="1" customWidth="1"/>
    <col min="5384" max="5384" width="2.25" style="568" bestFit="1" customWidth="1"/>
    <col min="5385" max="5385" width="3.375" style="568" bestFit="1" customWidth="1"/>
    <col min="5386" max="5386" width="8.375" style="568" bestFit="1" customWidth="1"/>
    <col min="5387" max="5389" width="8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39" width="7.625" style="568" bestFit="1" customWidth="1"/>
    <col min="5640" max="5640" width="2.25" style="568" bestFit="1" customWidth="1"/>
    <col min="5641" max="5641" width="3.375" style="568" bestFit="1" customWidth="1"/>
    <col min="5642" max="5642" width="8.375" style="568" bestFit="1" customWidth="1"/>
    <col min="5643" max="5645" width="8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5" width="7.625" style="568" bestFit="1" customWidth="1"/>
    <col min="5896" max="5896" width="2.25" style="568" bestFit="1" customWidth="1"/>
    <col min="5897" max="5897" width="3.375" style="568" bestFit="1" customWidth="1"/>
    <col min="5898" max="5898" width="8.375" style="568" bestFit="1" customWidth="1"/>
    <col min="5899" max="5901" width="8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1" width="7.625" style="568" bestFit="1" customWidth="1"/>
    <col min="6152" max="6152" width="2.25" style="568" bestFit="1" customWidth="1"/>
    <col min="6153" max="6153" width="3.375" style="568" bestFit="1" customWidth="1"/>
    <col min="6154" max="6154" width="8.375" style="568" bestFit="1" customWidth="1"/>
    <col min="6155" max="6157" width="8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7" width="7.625" style="568" bestFit="1" customWidth="1"/>
    <col min="6408" max="6408" width="2.25" style="568" bestFit="1" customWidth="1"/>
    <col min="6409" max="6409" width="3.375" style="568" bestFit="1" customWidth="1"/>
    <col min="6410" max="6410" width="8.375" style="568" bestFit="1" customWidth="1"/>
    <col min="6411" max="6413" width="8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3" width="7.625" style="568" bestFit="1" customWidth="1"/>
    <col min="6664" max="6664" width="2.25" style="568" bestFit="1" customWidth="1"/>
    <col min="6665" max="6665" width="3.375" style="568" bestFit="1" customWidth="1"/>
    <col min="6666" max="6666" width="8.375" style="568" bestFit="1" customWidth="1"/>
    <col min="6667" max="6669" width="8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19" width="7.625" style="568" bestFit="1" customWidth="1"/>
    <col min="6920" max="6920" width="2.25" style="568" bestFit="1" customWidth="1"/>
    <col min="6921" max="6921" width="3.375" style="568" bestFit="1" customWidth="1"/>
    <col min="6922" max="6922" width="8.375" style="568" bestFit="1" customWidth="1"/>
    <col min="6923" max="6925" width="8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5" width="7.625" style="568" bestFit="1" customWidth="1"/>
    <col min="7176" max="7176" width="2.25" style="568" bestFit="1" customWidth="1"/>
    <col min="7177" max="7177" width="3.375" style="568" bestFit="1" customWidth="1"/>
    <col min="7178" max="7178" width="8.375" style="568" bestFit="1" customWidth="1"/>
    <col min="7179" max="7181" width="8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1" width="7.625" style="568" bestFit="1" customWidth="1"/>
    <col min="7432" max="7432" width="2.25" style="568" bestFit="1" customWidth="1"/>
    <col min="7433" max="7433" width="3.375" style="568" bestFit="1" customWidth="1"/>
    <col min="7434" max="7434" width="8.375" style="568" bestFit="1" customWidth="1"/>
    <col min="7435" max="7437" width="8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7" width="7.625" style="568" bestFit="1" customWidth="1"/>
    <col min="7688" max="7688" width="2.25" style="568" bestFit="1" customWidth="1"/>
    <col min="7689" max="7689" width="3.375" style="568" bestFit="1" customWidth="1"/>
    <col min="7690" max="7690" width="8.375" style="568" bestFit="1" customWidth="1"/>
    <col min="7691" max="7693" width="8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3" width="7.625" style="568" bestFit="1" customWidth="1"/>
    <col min="7944" max="7944" width="2.25" style="568" bestFit="1" customWidth="1"/>
    <col min="7945" max="7945" width="3.375" style="568" bestFit="1" customWidth="1"/>
    <col min="7946" max="7946" width="8.375" style="568" bestFit="1" customWidth="1"/>
    <col min="7947" max="7949" width="8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199" width="7.625" style="568" bestFit="1" customWidth="1"/>
    <col min="8200" max="8200" width="2.25" style="568" bestFit="1" customWidth="1"/>
    <col min="8201" max="8201" width="3.375" style="568" bestFit="1" customWidth="1"/>
    <col min="8202" max="8202" width="8.375" style="568" bestFit="1" customWidth="1"/>
    <col min="8203" max="8205" width="8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5" width="7.625" style="568" bestFit="1" customWidth="1"/>
    <col min="8456" max="8456" width="2.25" style="568" bestFit="1" customWidth="1"/>
    <col min="8457" max="8457" width="3.375" style="568" bestFit="1" customWidth="1"/>
    <col min="8458" max="8458" width="8.375" style="568" bestFit="1" customWidth="1"/>
    <col min="8459" max="8461" width="8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1" width="7.625" style="568" bestFit="1" customWidth="1"/>
    <col min="8712" max="8712" width="2.25" style="568" bestFit="1" customWidth="1"/>
    <col min="8713" max="8713" width="3.375" style="568" bestFit="1" customWidth="1"/>
    <col min="8714" max="8714" width="8.375" style="568" bestFit="1" customWidth="1"/>
    <col min="8715" max="8717" width="8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7" width="7.625" style="568" bestFit="1" customWidth="1"/>
    <col min="8968" max="8968" width="2.25" style="568" bestFit="1" customWidth="1"/>
    <col min="8969" max="8969" width="3.375" style="568" bestFit="1" customWidth="1"/>
    <col min="8970" max="8970" width="8.375" style="568" bestFit="1" customWidth="1"/>
    <col min="8971" max="8973" width="8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3" width="7.625" style="568" bestFit="1" customWidth="1"/>
    <col min="9224" max="9224" width="2.25" style="568" bestFit="1" customWidth="1"/>
    <col min="9225" max="9225" width="3.375" style="568" bestFit="1" customWidth="1"/>
    <col min="9226" max="9226" width="8.375" style="568" bestFit="1" customWidth="1"/>
    <col min="9227" max="9229" width="8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79" width="7.625" style="568" bestFit="1" customWidth="1"/>
    <col min="9480" max="9480" width="2.25" style="568" bestFit="1" customWidth="1"/>
    <col min="9481" max="9481" width="3.375" style="568" bestFit="1" customWidth="1"/>
    <col min="9482" max="9482" width="8.375" style="568" bestFit="1" customWidth="1"/>
    <col min="9483" max="9485" width="8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5" width="7.625" style="568" bestFit="1" customWidth="1"/>
    <col min="9736" max="9736" width="2.25" style="568" bestFit="1" customWidth="1"/>
    <col min="9737" max="9737" width="3.375" style="568" bestFit="1" customWidth="1"/>
    <col min="9738" max="9738" width="8.375" style="568" bestFit="1" customWidth="1"/>
    <col min="9739" max="9741" width="8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1" width="7.625" style="568" bestFit="1" customWidth="1"/>
    <col min="9992" max="9992" width="2.25" style="568" bestFit="1" customWidth="1"/>
    <col min="9993" max="9993" width="3.375" style="568" bestFit="1" customWidth="1"/>
    <col min="9994" max="9994" width="8.375" style="568" bestFit="1" customWidth="1"/>
    <col min="9995" max="9997" width="8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7" width="7.625" style="568" bestFit="1" customWidth="1"/>
    <col min="10248" max="10248" width="2.25" style="568" bestFit="1" customWidth="1"/>
    <col min="10249" max="10249" width="3.375" style="568" bestFit="1" customWidth="1"/>
    <col min="10250" max="10250" width="8.375" style="568" bestFit="1" customWidth="1"/>
    <col min="10251" max="10253" width="8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3" width="7.625" style="568" bestFit="1" customWidth="1"/>
    <col min="10504" max="10504" width="2.25" style="568" bestFit="1" customWidth="1"/>
    <col min="10505" max="10505" width="3.375" style="568" bestFit="1" customWidth="1"/>
    <col min="10506" max="10506" width="8.375" style="568" bestFit="1" customWidth="1"/>
    <col min="10507" max="10509" width="8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59" width="7.625" style="568" bestFit="1" customWidth="1"/>
    <col min="10760" max="10760" width="2.25" style="568" bestFit="1" customWidth="1"/>
    <col min="10761" max="10761" width="3.375" style="568" bestFit="1" customWidth="1"/>
    <col min="10762" max="10762" width="8.375" style="568" bestFit="1" customWidth="1"/>
    <col min="10763" max="10765" width="8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5" width="7.625" style="568" bestFit="1" customWidth="1"/>
    <col min="11016" max="11016" width="2.25" style="568" bestFit="1" customWidth="1"/>
    <col min="11017" max="11017" width="3.375" style="568" bestFit="1" customWidth="1"/>
    <col min="11018" max="11018" width="8.375" style="568" bestFit="1" customWidth="1"/>
    <col min="11019" max="11021" width="8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1" width="7.625" style="568" bestFit="1" customWidth="1"/>
    <col min="11272" max="11272" width="2.25" style="568" bestFit="1" customWidth="1"/>
    <col min="11273" max="11273" width="3.375" style="568" bestFit="1" customWidth="1"/>
    <col min="11274" max="11274" width="8.375" style="568" bestFit="1" customWidth="1"/>
    <col min="11275" max="11277" width="8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7" width="7.625" style="568" bestFit="1" customWidth="1"/>
    <col min="11528" max="11528" width="2.25" style="568" bestFit="1" customWidth="1"/>
    <col min="11529" max="11529" width="3.375" style="568" bestFit="1" customWidth="1"/>
    <col min="11530" max="11530" width="8.375" style="568" bestFit="1" customWidth="1"/>
    <col min="11531" max="11533" width="8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3" width="7.625" style="568" bestFit="1" customWidth="1"/>
    <col min="11784" max="11784" width="2.25" style="568" bestFit="1" customWidth="1"/>
    <col min="11785" max="11785" width="3.375" style="568" bestFit="1" customWidth="1"/>
    <col min="11786" max="11786" width="8.375" style="568" bestFit="1" customWidth="1"/>
    <col min="11787" max="11789" width="8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39" width="7.625" style="568" bestFit="1" customWidth="1"/>
    <col min="12040" max="12040" width="2.25" style="568" bestFit="1" customWidth="1"/>
    <col min="12041" max="12041" width="3.375" style="568" bestFit="1" customWidth="1"/>
    <col min="12042" max="12042" width="8.375" style="568" bestFit="1" customWidth="1"/>
    <col min="12043" max="12045" width="8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5" width="7.625" style="568" bestFit="1" customWidth="1"/>
    <col min="12296" max="12296" width="2.25" style="568" bestFit="1" customWidth="1"/>
    <col min="12297" max="12297" width="3.375" style="568" bestFit="1" customWidth="1"/>
    <col min="12298" max="12298" width="8.375" style="568" bestFit="1" customWidth="1"/>
    <col min="12299" max="12301" width="8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1" width="7.625" style="568" bestFit="1" customWidth="1"/>
    <col min="12552" max="12552" width="2.25" style="568" bestFit="1" customWidth="1"/>
    <col min="12553" max="12553" width="3.375" style="568" bestFit="1" customWidth="1"/>
    <col min="12554" max="12554" width="8.375" style="568" bestFit="1" customWidth="1"/>
    <col min="12555" max="12557" width="8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7" width="7.625" style="568" bestFit="1" customWidth="1"/>
    <col min="12808" max="12808" width="2.25" style="568" bestFit="1" customWidth="1"/>
    <col min="12809" max="12809" width="3.375" style="568" bestFit="1" customWidth="1"/>
    <col min="12810" max="12810" width="8.375" style="568" bestFit="1" customWidth="1"/>
    <col min="12811" max="12813" width="8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3" width="7.625" style="568" bestFit="1" customWidth="1"/>
    <col min="13064" max="13064" width="2.25" style="568" bestFit="1" customWidth="1"/>
    <col min="13065" max="13065" width="3.375" style="568" bestFit="1" customWidth="1"/>
    <col min="13066" max="13066" width="8.375" style="568" bestFit="1" customWidth="1"/>
    <col min="13067" max="13069" width="8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19" width="7.625" style="568" bestFit="1" customWidth="1"/>
    <col min="13320" max="13320" width="2.25" style="568" bestFit="1" customWidth="1"/>
    <col min="13321" max="13321" width="3.375" style="568" bestFit="1" customWidth="1"/>
    <col min="13322" max="13322" width="8.375" style="568" bestFit="1" customWidth="1"/>
    <col min="13323" max="13325" width="8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5" width="7.625" style="568" bestFit="1" customWidth="1"/>
    <col min="13576" max="13576" width="2.25" style="568" bestFit="1" customWidth="1"/>
    <col min="13577" max="13577" width="3.375" style="568" bestFit="1" customWidth="1"/>
    <col min="13578" max="13578" width="8.375" style="568" bestFit="1" customWidth="1"/>
    <col min="13579" max="13581" width="8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1" width="7.625" style="568" bestFit="1" customWidth="1"/>
    <col min="13832" max="13832" width="2.25" style="568" bestFit="1" customWidth="1"/>
    <col min="13833" max="13833" width="3.375" style="568" bestFit="1" customWidth="1"/>
    <col min="13834" max="13834" width="8.375" style="568" bestFit="1" customWidth="1"/>
    <col min="13835" max="13837" width="8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7" width="7.625" style="568" bestFit="1" customWidth="1"/>
    <col min="14088" max="14088" width="2.25" style="568" bestFit="1" customWidth="1"/>
    <col min="14089" max="14089" width="3.375" style="568" bestFit="1" customWidth="1"/>
    <col min="14090" max="14090" width="8.375" style="568" bestFit="1" customWidth="1"/>
    <col min="14091" max="14093" width="8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3" width="7.625" style="568" bestFit="1" customWidth="1"/>
    <col min="14344" max="14344" width="2.25" style="568" bestFit="1" customWidth="1"/>
    <col min="14345" max="14345" width="3.375" style="568" bestFit="1" customWidth="1"/>
    <col min="14346" max="14346" width="8.375" style="568" bestFit="1" customWidth="1"/>
    <col min="14347" max="14349" width="8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599" width="7.625" style="568" bestFit="1" customWidth="1"/>
    <col min="14600" max="14600" width="2.25" style="568" bestFit="1" customWidth="1"/>
    <col min="14601" max="14601" width="3.375" style="568" bestFit="1" customWidth="1"/>
    <col min="14602" max="14602" width="8.375" style="568" bestFit="1" customWidth="1"/>
    <col min="14603" max="14605" width="8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5" width="7.625" style="568" bestFit="1" customWidth="1"/>
    <col min="14856" max="14856" width="2.25" style="568" bestFit="1" customWidth="1"/>
    <col min="14857" max="14857" width="3.375" style="568" bestFit="1" customWidth="1"/>
    <col min="14858" max="14858" width="8.375" style="568" bestFit="1" customWidth="1"/>
    <col min="14859" max="14861" width="8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1" width="7.625" style="568" bestFit="1" customWidth="1"/>
    <col min="15112" max="15112" width="2.25" style="568" bestFit="1" customWidth="1"/>
    <col min="15113" max="15113" width="3.375" style="568" bestFit="1" customWidth="1"/>
    <col min="15114" max="15114" width="8.375" style="568" bestFit="1" customWidth="1"/>
    <col min="15115" max="15117" width="8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7" width="7.625" style="568" bestFit="1" customWidth="1"/>
    <col min="15368" max="15368" width="2.25" style="568" bestFit="1" customWidth="1"/>
    <col min="15369" max="15369" width="3.375" style="568" bestFit="1" customWidth="1"/>
    <col min="15370" max="15370" width="8.375" style="568" bestFit="1" customWidth="1"/>
    <col min="15371" max="15373" width="8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3" width="7.625" style="568" bestFit="1" customWidth="1"/>
    <col min="15624" max="15624" width="2.25" style="568" bestFit="1" customWidth="1"/>
    <col min="15625" max="15625" width="3.375" style="568" bestFit="1" customWidth="1"/>
    <col min="15626" max="15626" width="8.375" style="568" bestFit="1" customWidth="1"/>
    <col min="15627" max="15629" width="8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79" width="7.625" style="568" bestFit="1" customWidth="1"/>
    <col min="15880" max="15880" width="2.25" style="568" bestFit="1" customWidth="1"/>
    <col min="15881" max="15881" width="3.375" style="568" bestFit="1" customWidth="1"/>
    <col min="15882" max="15882" width="8.375" style="568" bestFit="1" customWidth="1"/>
    <col min="15883" max="15885" width="8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5" width="7.625" style="568" bestFit="1" customWidth="1"/>
    <col min="16136" max="16136" width="2.25" style="568" bestFit="1" customWidth="1"/>
    <col min="16137" max="16137" width="3.375" style="568" bestFit="1" customWidth="1"/>
    <col min="16138" max="16138" width="8.375" style="568" bestFit="1" customWidth="1"/>
    <col min="16139" max="16141" width="8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855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97</v>
      </c>
      <c r="J9" s="567" t="s">
        <v>327</v>
      </c>
      <c r="K9" s="567" t="s">
        <v>1002</v>
      </c>
      <c r="L9" s="567" t="s">
        <v>1003</v>
      </c>
      <c r="M9" s="567" t="s">
        <v>1004</v>
      </c>
      <c r="N9" s="567" t="s">
        <v>1011</v>
      </c>
      <c r="O9" s="567" t="s">
        <v>1012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7.768518518518519E-2</v>
      </c>
      <c r="E10" s="567">
        <v>53696</v>
      </c>
      <c r="F10" s="567" t="s">
        <v>1001</v>
      </c>
      <c r="G10" s="567" t="s">
        <v>326</v>
      </c>
      <c r="H10" s="567">
        <v>0</v>
      </c>
      <c r="I10" s="567">
        <v>97</v>
      </c>
      <c r="J10" s="567" t="s">
        <v>327</v>
      </c>
      <c r="K10" s="567" t="s">
        <v>1002</v>
      </c>
      <c r="L10" s="567" t="s">
        <v>1003</v>
      </c>
      <c r="M10" s="567" t="s">
        <v>1004</v>
      </c>
      <c r="N10" s="567" t="s">
        <v>1011</v>
      </c>
      <c r="O10" s="567" t="s">
        <v>1012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8.2638888888888887E-2</v>
      </c>
      <c r="E11" s="567">
        <v>3424</v>
      </c>
      <c r="F11" s="567" t="s">
        <v>1001</v>
      </c>
      <c r="G11" s="567" t="s">
        <v>326</v>
      </c>
      <c r="H11" s="567">
        <v>0</v>
      </c>
      <c r="I11" s="567">
        <v>97</v>
      </c>
      <c r="J11" s="567" t="s">
        <v>327</v>
      </c>
      <c r="K11" s="567" t="s">
        <v>1002</v>
      </c>
      <c r="L11" s="567" t="s">
        <v>1003</v>
      </c>
      <c r="M11" s="567" t="s">
        <v>1004</v>
      </c>
      <c r="N11" s="567" t="s">
        <v>1013</v>
      </c>
      <c r="O11" s="567" t="s">
        <v>1014</v>
      </c>
      <c r="P11" s="567" t="s">
        <v>1007</v>
      </c>
      <c r="Q11" s="567" t="s">
        <v>1008</v>
      </c>
      <c r="R11" s="567">
        <v>80</v>
      </c>
    </row>
    <row r="12" spans="1:18" ht="15" x14ac:dyDescent="0.2">
      <c r="A12" s="567"/>
      <c r="B12" s="567"/>
      <c r="C12" s="567"/>
      <c r="D12" s="569">
        <v>0.20013888888888889</v>
      </c>
      <c r="E12" s="567">
        <v>81216</v>
      </c>
      <c r="F12" s="567" t="s">
        <v>1001</v>
      </c>
      <c r="G12" s="567" t="s">
        <v>326</v>
      </c>
      <c r="H12" s="567">
        <v>0</v>
      </c>
      <c r="I12" s="567">
        <v>97</v>
      </c>
      <c r="J12" s="567" t="s">
        <v>327</v>
      </c>
      <c r="K12" s="567" t="s">
        <v>1002</v>
      </c>
      <c r="L12" s="567" t="s">
        <v>1003</v>
      </c>
      <c r="M12" s="567" t="s">
        <v>1004</v>
      </c>
      <c r="N12" s="567" t="s">
        <v>1013</v>
      </c>
      <c r="O12" s="567" t="s">
        <v>1014</v>
      </c>
      <c r="P12" s="567" t="s">
        <v>1009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0.2076388888888889</v>
      </c>
      <c r="E13" s="567">
        <v>5184</v>
      </c>
      <c r="F13" s="567" t="s">
        <v>1001</v>
      </c>
      <c r="G13" s="567" t="s">
        <v>326</v>
      </c>
      <c r="H13" s="567">
        <v>0</v>
      </c>
      <c r="I13" s="567">
        <v>39</v>
      </c>
      <c r="J13" s="567" t="s">
        <v>327</v>
      </c>
      <c r="K13" s="567" t="s">
        <v>1002</v>
      </c>
      <c r="L13" s="567" t="s">
        <v>1003</v>
      </c>
      <c r="M13" s="567" t="s">
        <v>1004</v>
      </c>
      <c r="N13" s="567" t="s">
        <v>1013</v>
      </c>
      <c r="O13" s="567" t="s">
        <v>1014</v>
      </c>
      <c r="P13" s="567" t="s">
        <v>1007</v>
      </c>
      <c r="Q13" s="567" t="s">
        <v>1008</v>
      </c>
      <c r="R13" s="567">
        <v>80</v>
      </c>
    </row>
    <row r="14" spans="1:18" ht="15" x14ac:dyDescent="0.2">
      <c r="A14" s="567"/>
      <c r="B14" s="567"/>
      <c r="C14" s="567"/>
      <c r="D14" s="569">
        <v>0.24680555555555558</v>
      </c>
      <c r="E14" s="567">
        <v>27072</v>
      </c>
      <c r="F14" s="567" t="s">
        <v>1001</v>
      </c>
      <c r="G14" s="567" t="s">
        <v>326</v>
      </c>
      <c r="H14" s="567">
        <v>0</v>
      </c>
      <c r="I14" s="567">
        <v>39</v>
      </c>
      <c r="J14" s="567" t="s">
        <v>327</v>
      </c>
      <c r="K14" s="567" t="s">
        <v>1002</v>
      </c>
      <c r="L14" s="567" t="s">
        <v>1003</v>
      </c>
      <c r="M14" s="567" t="s">
        <v>1004</v>
      </c>
      <c r="N14" s="567" t="s">
        <v>1013</v>
      </c>
      <c r="O14" s="567" t="s">
        <v>1014</v>
      </c>
      <c r="P14" s="567" t="s">
        <v>1009</v>
      </c>
      <c r="Q14" s="567" t="s">
        <v>1008</v>
      </c>
      <c r="R14" s="567">
        <v>80</v>
      </c>
    </row>
    <row r="15" spans="1:18" ht="15" x14ac:dyDescent="0.2">
      <c r="A15" s="567"/>
      <c r="B15" s="567"/>
      <c r="C15" s="567"/>
      <c r="D15" s="569">
        <v>0.24680555555555558</v>
      </c>
      <c r="E15" s="567">
        <v>0</v>
      </c>
      <c r="F15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/>
  </sheetViews>
  <sheetFormatPr defaultColWidth="11.375" defaultRowHeight="15" x14ac:dyDescent="0.2"/>
  <cols>
    <col min="1" max="1" width="5.125" style="14" customWidth="1"/>
    <col min="2" max="2" width="16.375" style="14" bestFit="1" customWidth="1"/>
    <col min="3" max="3" width="12.625" style="14" bestFit="1" customWidth="1"/>
    <col min="4" max="4" width="13.875" style="14" bestFit="1" customWidth="1"/>
    <col min="5" max="16384" width="11.375" style="14"/>
  </cols>
  <sheetData>
    <row r="3" spans="1:4" x14ac:dyDescent="0.2">
      <c r="A3" s="70"/>
      <c r="B3" s="70" t="s">
        <v>224</v>
      </c>
      <c r="C3" s="70"/>
      <c r="D3" s="70"/>
    </row>
    <row r="4" spans="1:4" ht="15.75" thickBot="1" x14ac:dyDescent="0.25">
      <c r="A4" s="70"/>
      <c r="B4" s="70"/>
      <c r="C4" s="70"/>
      <c r="D4" s="70"/>
    </row>
    <row r="5" spans="1:4" x14ac:dyDescent="0.2">
      <c r="A5" s="70"/>
      <c r="B5" s="587" t="s">
        <v>17</v>
      </c>
      <c r="C5" s="587" t="s">
        <v>225</v>
      </c>
      <c r="D5" s="587" t="s">
        <v>226</v>
      </c>
    </row>
    <row r="6" spans="1:4" ht="15.75" thickBot="1" x14ac:dyDescent="0.25">
      <c r="A6" s="70"/>
      <c r="B6" s="606"/>
      <c r="C6" s="606"/>
      <c r="D6" s="606"/>
    </row>
    <row r="7" spans="1:4" x14ac:dyDescent="0.2">
      <c r="A7" s="15"/>
      <c r="B7" s="139"/>
      <c r="C7" s="140"/>
      <c r="D7" s="140"/>
    </row>
    <row r="8" spans="1:4" x14ac:dyDescent="0.2">
      <c r="A8" s="21"/>
      <c r="B8" s="45"/>
      <c r="C8" s="141"/>
      <c r="D8" s="141"/>
    </row>
    <row r="9" spans="1:4" x14ac:dyDescent="0.2">
      <c r="A9" s="21"/>
      <c r="B9" s="45"/>
      <c r="C9" s="141"/>
      <c r="D9" s="141"/>
    </row>
    <row r="10" spans="1:4" x14ac:dyDescent="0.2">
      <c r="A10" s="21"/>
      <c r="B10" s="45"/>
      <c r="C10" s="141"/>
      <c r="D10" s="141"/>
    </row>
    <row r="11" spans="1:4" x14ac:dyDescent="0.2">
      <c r="A11" s="21"/>
      <c r="B11" s="45"/>
      <c r="C11" s="141"/>
      <c r="D11" s="141"/>
    </row>
    <row r="12" spans="1:4" x14ac:dyDescent="0.2">
      <c r="A12" s="21"/>
      <c r="B12" s="45"/>
      <c r="C12" s="141"/>
      <c r="D12" s="141"/>
    </row>
    <row r="13" spans="1:4" x14ac:dyDescent="0.2">
      <c r="A13" s="21"/>
      <c r="B13" s="45"/>
      <c r="C13" s="141"/>
      <c r="D13" s="141"/>
    </row>
    <row r="14" spans="1:4" x14ac:dyDescent="0.2">
      <c r="A14" s="21"/>
      <c r="B14" s="45"/>
      <c r="C14" s="141"/>
      <c r="D14" s="141"/>
    </row>
    <row r="15" spans="1:4" x14ac:dyDescent="0.2">
      <c r="A15" s="21"/>
      <c r="B15" s="45"/>
      <c r="C15" s="142"/>
      <c r="D15" s="141"/>
    </row>
    <row r="16" spans="1:4" ht="15.75" thickBot="1" x14ac:dyDescent="0.25">
      <c r="A16" s="21"/>
      <c r="B16" s="73"/>
      <c r="C16" s="143"/>
      <c r="D16" s="143"/>
    </row>
    <row r="18" spans="1:1" x14ac:dyDescent="0.2">
      <c r="A18" s="14">
        <f>COUNTA(A8:A15)</f>
        <v>0</v>
      </c>
    </row>
  </sheetData>
  <mergeCells count="3">
    <mergeCell ref="B5:B6"/>
    <mergeCell ref="C5:C6"/>
    <mergeCell ref="D5:D6"/>
  </mergeCells>
  <printOptions gridLines="1" gridLinesSet="0"/>
  <pageMargins left="0.75" right="0.75" top="1" bottom="1" header="0.51181102300000003" footer="0.51181102300000003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6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8" width="7.625" style="568" bestFit="1" customWidth="1"/>
    <col min="9" max="9" width="5" style="568" bestFit="1" customWidth="1"/>
    <col min="10" max="10" width="8.375" style="568" bestFit="1" customWidth="1"/>
    <col min="11" max="11" width="18.75" style="568" bestFit="1" customWidth="1"/>
    <col min="12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4" width="7.625" style="568" bestFit="1" customWidth="1"/>
    <col min="265" max="265" width="5" style="568" bestFit="1" customWidth="1"/>
    <col min="266" max="266" width="8.375" style="568" bestFit="1" customWidth="1"/>
    <col min="267" max="267" width="18.75" style="568" bestFit="1" customWidth="1"/>
    <col min="268" max="269" width="8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20" width="7.625" style="568" bestFit="1" customWidth="1"/>
    <col min="521" max="521" width="5" style="568" bestFit="1" customWidth="1"/>
    <col min="522" max="522" width="8.375" style="568" bestFit="1" customWidth="1"/>
    <col min="523" max="523" width="18.75" style="568" bestFit="1" customWidth="1"/>
    <col min="524" max="525" width="8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6" width="7.625" style="568" bestFit="1" customWidth="1"/>
    <col min="777" max="777" width="5" style="568" bestFit="1" customWidth="1"/>
    <col min="778" max="778" width="8.375" style="568" bestFit="1" customWidth="1"/>
    <col min="779" max="779" width="18.75" style="568" bestFit="1" customWidth="1"/>
    <col min="780" max="781" width="8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2" width="7.625" style="568" bestFit="1" customWidth="1"/>
    <col min="1033" max="1033" width="5" style="568" bestFit="1" customWidth="1"/>
    <col min="1034" max="1034" width="8.375" style="568" bestFit="1" customWidth="1"/>
    <col min="1035" max="1035" width="18.75" style="568" bestFit="1" customWidth="1"/>
    <col min="1036" max="1037" width="8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8" width="7.625" style="568" bestFit="1" customWidth="1"/>
    <col min="1289" max="1289" width="5" style="568" bestFit="1" customWidth="1"/>
    <col min="1290" max="1290" width="8.375" style="568" bestFit="1" customWidth="1"/>
    <col min="1291" max="1291" width="18.75" style="568" bestFit="1" customWidth="1"/>
    <col min="1292" max="1293" width="8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4" width="7.625" style="568" bestFit="1" customWidth="1"/>
    <col min="1545" max="1545" width="5" style="568" bestFit="1" customWidth="1"/>
    <col min="1546" max="1546" width="8.375" style="568" bestFit="1" customWidth="1"/>
    <col min="1547" max="1547" width="18.75" style="568" bestFit="1" customWidth="1"/>
    <col min="1548" max="1549" width="8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800" width="7.625" style="568" bestFit="1" customWidth="1"/>
    <col min="1801" max="1801" width="5" style="568" bestFit="1" customWidth="1"/>
    <col min="1802" max="1802" width="8.375" style="568" bestFit="1" customWidth="1"/>
    <col min="1803" max="1803" width="18.75" style="568" bestFit="1" customWidth="1"/>
    <col min="1804" max="1805" width="8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6" width="7.625" style="568" bestFit="1" customWidth="1"/>
    <col min="2057" max="2057" width="5" style="568" bestFit="1" customWidth="1"/>
    <col min="2058" max="2058" width="8.375" style="568" bestFit="1" customWidth="1"/>
    <col min="2059" max="2059" width="18.75" style="568" bestFit="1" customWidth="1"/>
    <col min="2060" max="2061" width="8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2" width="7.625" style="568" bestFit="1" customWidth="1"/>
    <col min="2313" max="2313" width="5" style="568" bestFit="1" customWidth="1"/>
    <col min="2314" max="2314" width="8.375" style="568" bestFit="1" customWidth="1"/>
    <col min="2315" max="2315" width="18.75" style="568" bestFit="1" customWidth="1"/>
    <col min="2316" max="2317" width="8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8" width="7.625" style="568" bestFit="1" customWidth="1"/>
    <col min="2569" max="2569" width="5" style="568" bestFit="1" customWidth="1"/>
    <col min="2570" max="2570" width="8.375" style="568" bestFit="1" customWidth="1"/>
    <col min="2571" max="2571" width="18.75" style="568" bestFit="1" customWidth="1"/>
    <col min="2572" max="2573" width="8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4" width="7.625" style="568" bestFit="1" customWidth="1"/>
    <col min="2825" max="2825" width="5" style="568" bestFit="1" customWidth="1"/>
    <col min="2826" max="2826" width="8.375" style="568" bestFit="1" customWidth="1"/>
    <col min="2827" max="2827" width="18.75" style="568" bestFit="1" customWidth="1"/>
    <col min="2828" max="2829" width="8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80" width="7.625" style="568" bestFit="1" customWidth="1"/>
    <col min="3081" max="3081" width="5" style="568" bestFit="1" customWidth="1"/>
    <col min="3082" max="3082" width="8.375" style="568" bestFit="1" customWidth="1"/>
    <col min="3083" max="3083" width="18.75" style="568" bestFit="1" customWidth="1"/>
    <col min="3084" max="3085" width="8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6" width="7.625" style="568" bestFit="1" customWidth="1"/>
    <col min="3337" max="3337" width="5" style="568" bestFit="1" customWidth="1"/>
    <col min="3338" max="3338" width="8.375" style="568" bestFit="1" customWidth="1"/>
    <col min="3339" max="3339" width="18.75" style="568" bestFit="1" customWidth="1"/>
    <col min="3340" max="3341" width="8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2" width="7.625" style="568" bestFit="1" customWidth="1"/>
    <col min="3593" max="3593" width="5" style="568" bestFit="1" customWidth="1"/>
    <col min="3594" max="3594" width="8.375" style="568" bestFit="1" customWidth="1"/>
    <col min="3595" max="3595" width="18.75" style="568" bestFit="1" customWidth="1"/>
    <col min="3596" max="3597" width="8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8" width="7.625" style="568" bestFit="1" customWidth="1"/>
    <col min="3849" max="3849" width="5" style="568" bestFit="1" customWidth="1"/>
    <col min="3850" max="3850" width="8.375" style="568" bestFit="1" customWidth="1"/>
    <col min="3851" max="3851" width="18.75" style="568" bestFit="1" customWidth="1"/>
    <col min="3852" max="3853" width="8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4" width="7.625" style="568" bestFit="1" customWidth="1"/>
    <col min="4105" max="4105" width="5" style="568" bestFit="1" customWidth="1"/>
    <col min="4106" max="4106" width="8.375" style="568" bestFit="1" customWidth="1"/>
    <col min="4107" max="4107" width="18.75" style="568" bestFit="1" customWidth="1"/>
    <col min="4108" max="4109" width="8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60" width="7.625" style="568" bestFit="1" customWidth="1"/>
    <col min="4361" max="4361" width="5" style="568" bestFit="1" customWidth="1"/>
    <col min="4362" max="4362" width="8.375" style="568" bestFit="1" customWidth="1"/>
    <col min="4363" max="4363" width="18.75" style="568" bestFit="1" customWidth="1"/>
    <col min="4364" max="4365" width="8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6" width="7.625" style="568" bestFit="1" customWidth="1"/>
    <col min="4617" max="4617" width="5" style="568" bestFit="1" customWidth="1"/>
    <col min="4618" max="4618" width="8.375" style="568" bestFit="1" customWidth="1"/>
    <col min="4619" max="4619" width="18.75" style="568" bestFit="1" customWidth="1"/>
    <col min="4620" max="4621" width="8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2" width="7.625" style="568" bestFit="1" customWidth="1"/>
    <col min="4873" max="4873" width="5" style="568" bestFit="1" customWidth="1"/>
    <col min="4874" max="4874" width="8.375" style="568" bestFit="1" customWidth="1"/>
    <col min="4875" max="4875" width="18.75" style="568" bestFit="1" customWidth="1"/>
    <col min="4876" max="4877" width="8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8" width="7.625" style="568" bestFit="1" customWidth="1"/>
    <col min="5129" max="5129" width="5" style="568" bestFit="1" customWidth="1"/>
    <col min="5130" max="5130" width="8.375" style="568" bestFit="1" customWidth="1"/>
    <col min="5131" max="5131" width="18.75" style="568" bestFit="1" customWidth="1"/>
    <col min="5132" max="5133" width="8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4" width="7.625" style="568" bestFit="1" customWidth="1"/>
    <col min="5385" max="5385" width="5" style="568" bestFit="1" customWidth="1"/>
    <col min="5386" max="5386" width="8.375" style="568" bestFit="1" customWidth="1"/>
    <col min="5387" max="5387" width="18.75" style="568" bestFit="1" customWidth="1"/>
    <col min="5388" max="5389" width="8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40" width="7.625" style="568" bestFit="1" customWidth="1"/>
    <col min="5641" max="5641" width="5" style="568" bestFit="1" customWidth="1"/>
    <col min="5642" max="5642" width="8.375" style="568" bestFit="1" customWidth="1"/>
    <col min="5643" max="5643" width="18.75" style="568" bestFit="1" customWidth="1"/>
    <col min="5644" max="5645" width="8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6" width="7.625" style="568" bestFit="1" customWidth="1"/>
    <col min="5897" max="5897" width="5" style="568" bestFit="1" customWidth="1"/>
    <col min="5898" max="5898" width="8.375" style="568" bestFit="1" customWidth="1"/>
    <col min="5899" max="5899" width="18.75" style="568" bestFit="1" customWidth="1"/>
    <col min="5900" max="5901" width="8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2" width="7.625" style="568" bestFit="1" customWidth="1"/>
    <col min="6153" max="6153" width="5" style="568" bestFit="1" customWidth="1"/>
    <col min="6154" max="6154" width="8.375" style="568" bestFit="1" customWidth="1"/>
    <col min="6155" max="6155" width="18.75" style="568" bestFit="1" customWidth="1"/>
    <col min="6156" max="6157" width="8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8" width="7.625" style="568" bestFit="1" customWidth="1"/>
    <col min="6409" max="6409" width="5" style="568" bestFit="1" customWidth="1"/>
    <col min="6410" max="6410" width="8.375" style="568" bestFit="1" customWidth="1"/>
    <col min="6411" max="6411" width="18.75" style="568" bestFit="1" customWidth="1"/>
    <col min="6412" max="6413" width="8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4" width="7.625" style="568" bestFit="1" customWidth="1"/>
    <col min="6665" max="6665" width="5" style="568" bestFit="1" customWidth="1"/>
    <col min="6666" max="6666" width="8.375" style="568" bestFit="1" customWidth="1"/>
    <col min="6667" max="6667" width="18.75" style="568" bestFit="1" customWidth="1"/>
    <col min="6668" max="6669" width="8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20" width="7.625" style="568" bestFit="1" customWidth="1"/>
    <col min="6921" max="6921" width="5" style="568" bestFit="1" customWidth="1"/>
    <col min="6922" max="6922" width="8.375" style="568" bestFit="1" customWidth="1"/>
    <col min="6923" max="6923" width="18.75" style="568" bestFit="1" customWidth="1"/>
    <col min="6924" max="6925" width="8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6" width="7.625" style="568" bestFit="1" customWidth="1"/>
    <col min="7177" max="7177" width="5" style="568" bestFit="1" customWidth="1"/>
    <col min="7178" max="7178" width="8.375" style="568" bestFit="1" customWidth="1"/>
    <col min="7179" max="7179" width="18.75" style="568" bestFit="1" customWidth="1"/>
    <col min="7180" max="7181" width="8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2" width="7.625" style="568" bestFit="1" customWidth="1"/>
    <col min="7433" max="7433" width="5" style="568" bestFit="1" customWidth="1"/>
    <col min="7434" max="7434" width="8.375" style="568" bestFit="1" customWidth="1"/>
    <col min="7435" max="7435" width="18.75" style="568" bestFit="1" customWidth="1"/>
    <col min="7436" max="7437" width="8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8" width="7.625" style="568" bestFit="1" customWidth="1"/>
    <col min="7689" max="7689" width="5" style="568" bestFit="1" customWidth="1"/>
    <col min="7690" max="7690" width="8.375" style="568" bestFit="1" customWidth="1"/>
    <col min="7691" max="7691" width="18.75" style="568" bestFit="1" customWidth="1"/>
    <col min="7692" max="7693" width="8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4" width="7.625" style="568" bestFit="1" customWidth="1"/>
    <col min="7945" max="7945" width="5" style="568" bestFit="1" customWidth="1"/>
    <col min="7946" max="7946" width="8.375" style="568" bestFit="1" customWidth="1"/>
    <col min="7947" max="7947" width="18.75" style="568" bestFit="1" customWidth="1"/>
    <col min="7948" max="7949" width="8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200" width="7.625" style="568" bestFit="1" customWidth="1"/>
    <col min="8201" max="8201" width="5" style="568" bestFit="1" customWidth="1"/>
    <col min="8202" max="8202" width="8.375" style="568" bestFit="1" customWidth="1"/>
    <col min="8203" max="8203" width="18.75" style="568" bestFit="1" customWidth="1"/>
    <col min="8204" max="8205" width="8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6" width="7.625" style="568" bestFit="1" customWidth="1"/>
    <col min="8457" max="8457" width="5" style="568" bestFit="1" customWidth="1"/>
    <col min="8458" max="8458" width="8.375" style="568" bestFit="1" customWidth="1"/>
    <col min="8459" max="8459" width="18.75" style="568" bestFit="1" customWidth="1"/>
    <col min="8460" max="8461" width="8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2" width="7.625" style="568" bestFit="1" customWidth="1"/>
    <col min="8713" max="8713" width="5" style="568" bestFit="1" customWidth="1"/>
    <col min="8714" max="8714" width="8.375" style="568" bestFit="1" customWidth="1"/>
    <col min="8715" max="8715" width="18.75" style="568" bestFit="1" customWidth="1"/>
    <col min="8716" max="8717" width="8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8" width="7.625" style="568" bestFit="1" customWidth="1"/>
    <col min="8969" max="8969" width="5" style="568" bestFit="1" customWidth="1"/>
    <col min="8970" max="8970" width="8.375" style="568" bestFit="1" customWidth="1"/>
    <col min="8971" max="8971" width="18.75" style="568" bestFit="1" customWidth="1"/>
    <col min="8972" max="8973" width="8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4" width="7.625" style="568" bestFit="1" customWidth="1"/>
    <col min="9225" max="9225" width="5" style="568" bestFit="1" customWidth="1"/>
    <col min="9226" max="9226" width="8.375" style="568" bestFit="1" customWidth="1"/>
    <col min="9227" max="9227" width="18.75" style="568" bestFit="1" customWidth="1"/>
    <col min="9228" max="9229" width="8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80" width="7.625" style="568" bestFit="1" customWidth="1"/>
    <col min="9481" max="9481" width="5" style="568" bestFit="1" customWidth="1"/>
    <col min="9482" max="9482" width="8.375" style="568" bestFit="1" customWidth="1"/>
    <col min="9483" max="9483" width="18.75" style="568" bestFit="1" customWidth="1"/>
    <col min="9484" max="9485" width="8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6" width="7.625" style="568" bestFit="1" customWidth="1"/>
    <col min="9737" max="9737" width="5" style="568" bestFit="1" customWidth="1"/>
    <col min="9738" max="9738" width="8.375" style="568" bestFit="1" customWidth="1"/>
    <col min="9739" max="9739" width="18.75" style="568" bestFit="1" customWidth="1"/>
    <col min="9740" max="9741" width="8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2" width="7.625" style="568" bestFit="1" customWidth="1"/>
    <col min="9993" max="9993" width="5" style="568" bestFit="1" customWidth="1"/>
    <col min="9994" max="9994" width="8.375" style="568" bestFit="1" customWidth="1"/>
    <col min="9995" max="9995" width="18.75" style="568" bestFit="1" customWidth="1"/>
    <col min="9996" max="9997" width="8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8" width="7.625" style="568" bestFit="1" customWidth="1"/>
    <col min="10249" max="10249" width="5" style="568" bestFit="1" customWidth="1"/>
    <col min="10250" max="10250" width="8.375" style="568" bestFit="1" customWidth="1"/>
    <col min="10251" max="10251" width="18.75" style="568" bestFit="1" customWidth="1"/>
    <col min="10252" max="10253" width="8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4" width="7.625" style="568" bestFit="1" customWidth="1"/>
    <col min="10505" max="10505" width="5" style="568" bestFit="1" customWidth="1"/>
    <col min="10506" max="10506" width="8.375" style="568" bestFit="1" customWidth="1"/>
    <col min="10507" max="10507" width="18.75" style="568" bestFit="1" customWidth="1"/>
    <col min="10508" max="10509" width="8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60" width="7.625" style="568" bestFit="1" customWidth="1"/>
    <col min="10761" max="10761" width="5" style="568" bestFit="1" customWidth="1"/>
    <col min="10762" max="10762" width="8.375" style="568" bestFit="1" customWidth="1"/>
    <col min="10763" max="10763" width="18.75" style="568" bestFit="1" customWidth="1"/>
    <col min="10764" max="10765" width="8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6" width="7.625" style="568" bestFit="1" customWidth="1"/>
    <col min="11017" max="11017" width="5" style="568" bestFit="1" customWidth="1"/>
    <col min="11018" max="11018" width="8.375" style="568" bestFit="1" customWidth="1"/>
    <col min="11019" max="11019" width="18.75" style="568" bestFit="1" customWidth="1"/>
    <col min="11020" max="11021" width="8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2" width="7.625" style="568" bestFit="1" customWidth="1"/>
    <col min="11273" max="11273" width="5" style="568" bestFit="1" customWidth="1"/>
    <col min="11274" max="11274" width="8.375" style="568" bestFit="1" customWidth="1"/>
    <col min="11275" max="11275" width="18.75" style="568" bestFit="1" customWidth="1"/>
    <col min="11276" max="11277" width="8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8" width="7.625" style="568" bestFit="1" customWidth="1"/>
    <col min="11529" max="11529" width="5" style="568" bestFit="1" customWidth="1"/>
    <col min="11530" max="11530" width="8.375" style="568" bestFit="1" customWidth="1"/>
    <col min="11531" max="11531" width="18.75" style="568" bestFit="1" customWidth="1"/>
    <col min="11532" max="11533" width="8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4" width="7.625" style="568" bestFit="1" customWidth="1"/>
    <col min="11785" max="11785" width="5" style="568" bestFit="1" customWidth="1"/>
    <col min="11786" max="11786" width="8.375" style="568" bestFit="1" customWidth="1"/>
    <col min="11787" max="11787" width="18.75" style="568" bestFit="1" customWidth="1"/>
    <col min="11788" max="11789" width="8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40" width="7.625" style="568" bestFit="1" customWidth="1"/>
    <col min="12041" max="12041" width="5" style="568" bestFit="1" customWidth="1"/>
    <col min="12042" max="12042" width="8.375" style="568" bestFit="1" customWidth="1"/>
    <col min="12043" max="12043" width="18.75" style="568" bestFit="1" customWidth="1"/>
    <col min="12044" max="12045" width="8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6" width="7.625" style="568" bestFit="1" customWidth="1"/>
    <col min="12297" max="12297" width="5" style="568" bestFit="1" customWidth="1"/>
    <col min="12298" max="12298" width="8.375" style="568" bestFit="1" customWidth="1"/>
    <col min="12299" max="12299" width="18.75" style="568" bestFit="1" customWidth="1"/>
    <col min="12300" max="12301" width="8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2" width="7.625" style="568" bestFit="1" customWidth="1"/>
    <col min="12553" max="12553" width="5" style="568" bestFit="1" customWidth="1"/>
    <col min="12554" max="12554" width="8.375" style="568" bestFit="1" customWidth="1"/>
    <col min="12555" max="12555" width="18.75" style="568" bestFit="1" customWidth="1"/>
    <col min="12556" max="12557" width="8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8" width="7.625" style="568" bestFit="1" customWidth="1"/>
    <col min="12809" max="12809" width="5" style="568" bestFit="1" customWidth="1"/>
    <col min="12810" max="12810" width="8.375" style="568" bestFit="1" customWidth="1"/>
    <col min="12811" max="12811" width="18.75" style="568" bestFit="1" customWidth="1"/>
    <col min="12812" max="12813" width="8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4" width="7.625" style="568" bestFit="1" customWidth="1"/>
    <col min="13065" max="13065" width="5" style="568" bestFit="1" customWidth="1"/>
    <col min="13066" max="13066" width="8.375" style="568" bestFit="1" customWidth="1"/>
    <col min="13067" max="13067" width="18.75" style="568" bestFit="1" customWidth="1"/>
    <col min="13068" max="13069" width="8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20" width="7.625" style="568" bestFit="1" customWidth="1"/>
    <col min="13321" max="13321" width="5" style="568" bestFit="1" customWidth="1"/>
    <col min="13322" max="13322" width="8.375" style="568" bestFit="1" customWidth="1"/>
    <col min="13323" max="13323" width="18.75" style="568" bestFit="1" customWidth="1"/>
    <col min="13324" max="13325" width="8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6" width="7.625" style="568" bestFit="1" customWidth="1"/>
    <col min="13577" max="13577" width="5" style="568" bestFit="1" customWidth="1"/>
    <col min="13578" max="13578" width="8.375" style="568" bestFit="1" customWidth="1"/>
    <col min="13579" max="13579" width="18.75" style="568" bestFit="1" customWidth="1"/>
    <col min="13580" max="13581" width="8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2" width="7.625" style="568" bestFit="1" customWidth="1"/>
    <col min="13833" max="13833" width="5" style="568" bestFit="1" customWidth="1"/>
    <col min="13834" max="13834" width="8.375" style="568" bestFit="1" customWidth="1"/>
    <col min="13835" max="13835" width="18.75" style="568" bestFit="1" customWidth="1"/>
    <col min="13836" max="13837" width="8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8" width="7.625" style="568" bestFit="1" customWidth="1"/>
    <col min="14089" max="14089" width="5" style="568" bestFit="1" customWidth="1"/>
    <col min="14090" max="14090" width="8.375" style="568" bestFit="1" customWidth="1"/>
    <col min="14091" max="14091" width="18.75" style="568" bestFit="1" customWidth="1"/>
    <col min="14092" max="14093" width="8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4" width="7.625" style="568" bestFit="1" customWidth="1"/>
    <col min="14345" max="14345" width="5" style="568" bestFit="1" customWidth="1"/>
    <col min="14346" max="14346" width="8.375" style="568" bestFit="1" customWidth="1"/>
    <col min="14347" max="14347" width="18.75" style="568" bestFit="1" customWidth="1"/>
    <col min="14348" max="14349" width="8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600" width="7.625" style="568" bestFit="1" customWidth="1"/>
    <col min="14601" max="14601" width="5" style="568" bestFit="1" customWidth="1"/>
    <col min="14602" max="14602" width="8.375" style="568" bestFit="1" customWidth="1"/>
    <col min="14603" max="14603" width="18.75" style="568" bestFit="1" customWidth="1"/>
    <col min="14604" max="14605" width="8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6" width="7.625" style="568" bestFit="1" customWidth="1"/>
    <col min="14857" max="14857" width="5" style="568" bestFit="1" customWidth="1"/>
    <col min="14858" max="14858" width="8.375" style="568" bestFit="1" customWidth="1"/>
    <col min="14859" max="14859" width="18.75" style="568" bestFit="1" customWidth="1"/>
    <col min="14860" max="14861" width="8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2" width="7.625" style="568" bestFit="1" customWidth="1"/>
    <col min="15113" max="15113" width="5" style="568" bestFit="1" customWidth="1"/>
    <col min="15114" max="15114" width="8.375" style="568" bestFit="1" customWidth="1"/>
    <col min="15115" max="15115" width="18.75" style="568" bestFit="1" customWidth="1"/>
    <col min="15116" max="15117" width="8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8" width="7.625" style="568" bestFit="1" customWidth="1"/>
    <col min="15369" max="15369" width="5" style="568" bestFit="1" customWidth="1"/>
    <col min="15370" max="15370" width="8.375" style="568" bestFit="1" customWidth="1"/>
    <col min="15371" max="15371" width="18.75" style="568" bestFit="1" customWidth="1"/>
    <col min="15372" max="15373" width="8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4" width="7.625" style="568" bestFit="1" customWidth="1"/>
    <col min="15625" max="15625" width="5" style="568" bestFit="1" customWidth="1"/>
    <col min="15626" max="15626" width="8.375" style="568" bestFit="1" customWidth="1"/>
    <col min="15627" max="15627" width="18.75" style="568" bestFit="1" customWidth="1"/>
    <col min="15628" max="15629" width="8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80" width="7.625" style="568" bestFit="1" customWidth="1"/>
    <col min="15881" max="15881" width="5" style="568" bestFit="1" customWidth="1"/>
    <col min="15882" max="15882" width="8.375" style="568" bestFit="1" customWidth="1"/>
    <col min="15883" max="15883" width="18.75" style="568" bestFit="1" customWidth="1"/>
    <col min="15884" max="15885" width="8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6" width="7.625" style="568" bestFit="1" customWidth="1"/>
    <col min="16137" max="16137" width="5" style="568" bestFit="1" customWidth="1"/>
    <col min="16138" max="16138" width="8.375" style="568" bestFit="1" customWidth="1"/>
    <col min="16139" max="16139" width="18.75" style="568" bestFit="1" customWidth="1"/>
    <col min="16140" max="16141" width="8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859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401</v>
      </c>
      <c r="J9" s="567" t="s">
        <v>327</v>
      </c>
      <c r="K9" s="567" t="s">
        <v>1002</v>
      </c>
      <c r="L9" s="567" t="s">
        <v>1003</v>
      </c>
      <c r="M9" s="567" t="s">
        <v>1004</v>
      </c>
      <c r="N9" s="567" t="s">
        <v>1011</v>
      </c>
      <c r="O9" s="567" t="s">
        <v>1012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0.15666666666666665</v>
      </c>
      <c r="E10" s="567">
        <v>108288</v>
      </c>
      <c r="F10" s="567" t="s">
        <v>1001</v>
      </c>
      <c r="G10" s="567" t="s">
        <v>326</v>
      </c>
      <c r="H10" s="567">
        <v>0</v>
      </c>
      <c r="I10" s="567">
        <v>401</v>
      </c>
      <c r="J10" s="567" t="s">
        <v>327</v>
      </c>
      <c r="K10" s="567" t="s">
        <v>1002</v>
      </c>
      <c r="L10" s="567" t="s">
        <v>1003</v>
      </c>
      <c r="M10" s="567" t="s">
        <v>1004</v>
      </c>
      <c r="N10" s="567" t="s">
        <v>1011</v>
      </c>
      <c r="O10" s="567" t="s">
        <v>1012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0.16666666666666666</v>
      </c>
      <c r="E11" s="567">
        <v>6912</v>
      </c>
      <c r="F11" s="567" t="s">
        <v>335</v>
      </c>
      <c r="G11" s="567">
        <v>0</v>
      </c>
      <c r="H11" s="567" t="s">
        <v>326</v>
      </c>
      <c r="I11" s="567" t="s">
        <v>336</v>
      </c>
      <c r="J11" s="567">
        <v>0</v>
      </c>
      <c r="K11" s="567" t="s">
        <v>337</v>
      </c>
      <c r="L11" s="567">
        <v>45</v>
      </c>
      <c r="M11" s="567">
        <v>1</v>
      </c>
    </row>
    <row r="12" spans="1:18" ht="15" x14ac:dyDescent="0.2">
      <c r="A12" s="567"/>
      <c r="B12" s="567"/>
      <c r="C12" s="567"/>
      <c r="D12" s="569">
        <v>0.17013888888888887</v>
      </c>
      <c r="E12" s="567">
        <v>0</v>
      </c>
      <c r="F12" s="567" t="s">
        <v>1001</v>
      </c>
      <c r="G12" s="567" t="s">
        <v>326</v>
      </c>
      <c r="H12" s="567">
        <v>0</v>
      </c>
      <c r="I12" s="567">
        <v>97</v>
      </c>
      <c r="J12" s="567" t="s">
        <v>327</v>
      </c>
      <c r="K12" s="567" t="s">
        <v>1002</v>
      </c>
      <c r="L12" s="567" t="s">
        <v>1003</v>
      </c>
      <c r="M12" s="567" t="s">
        <v>1004</v>
      </c>
      <c r="N12" s="567" t="s">
        <v>1011</v>
      </c>
      <c r="O12" s="567" t="s">
        <v>1012</v>
      </c>
      <c r="P12" s="567" t="s">
        <v>1007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0.28372685185185187</v>
      </c>
      <c r="E13" s="567">
        <v>78512</v>
      </c>
      <c r="F13" s="567" t="s">
        <v>1001</v>
      </c>
      <c r="G13" s="567" t="s">
        <v>326</v>
      </c>
      <c r="H13" s="567">
        <v>0</v>
      </c>
      <c r="I13" s="567">
        <v>97</v>
      </c>
      <c r="J13" s="567" t="s">
        <v>327</v>
      </c>
      <c r="K13" s="567" t="s">
        <v>1002</v>
      </c>
      <c r="L13" s="567" t="s">
        <v>1003</v>
      </c>
      <c r="M13" s="567" t="s">
        <v>1004</v>
      </c>
      <c r="N13" s="567" t="s">
        <v>1011</v>
      </c>
      <c r="O13" s="567" t="s">
        <v>1012</v>
      </c>
      <c r="P13" s="567" t="s">
        <v>1009</v>
      </c>
      <c r="Q13" s="567" t="s">
        <v>1008</v>
      </c>
      <c r="R13" s="567">
        <v>80</v>
      </c>
    </row>
    <row r="14" spans="1:18" ht="15" x14ac:dyDescent="0.2">
      <c r="A14" s="567"/>
      <c r="B14" s="567"/>
      <c r="C14" s="567"/>
      <c r="D14" s="569">
        <v>0.29097222222222224</v>
      </c>
      <c r="E14" s="567">
        <v>5008</v>
      </c>
      <c r="F14" s="567" t="s">
        <v>1001</v>
      </c>
      <c r="G14" s="567" t="s">
        <v>326</v>
      </c>
      <c r="H14" s="567">
        <v>0</v>
      </c>
      <c r="I14" s="567">
        <v>39</v>
      </c>
      <c r="J14" s="567" t="s">
        <v>327</v>
      </c>
      <c r="K14" s="567" t="s">
        <v>1002</v>
      </c>
      <c r="L14" s="567" t="s">
        <v>1003</v>
      </c>
      <c r="M14" s="567" t="s">
        <v>1004</v>
      </c>
      <c r="N14" s="567" t="s">
        <v>1013</v>
      </c>
      <c r="O14" s="567" t="s">
        <v>1014</v>
      </c>
      <c r="P14" s="567" t="s">
        <v>1007</v>
      </c>
      <c r="Q14" s="567" t="s">
        <v>1008</v>
      </c>
      <c r="R14" s="567">
        <v>80</v>
      </c>
    </row>
    <row r="15" spans="1:18" ht="15" x14ac:dyDescent="0.2">
      <c r="A15" s="567"/>
      <c r="B15" s="567"/>
      <c r="C15" s="567"/>
      <c r="D15" s="569">
        <v>0.33013888888888893</v>
      </c>
      <c r="E15" s="567">
        <v>27072</v>
      </c>
      <c r="F15" s="567" t="s">
        <v>1001</v>
      </c>
      <c r="G15" s="567" t="s">
        <v>326</v>
      </c>
      <c r="H15" s="567">
        <v>0</v>
      </c>
      <c r="I15" s="567">
        <v>39</v>
      </c>
      <c r="J15" s="567" t="s">
        <v>327</v>
      </c>
      <c r="K15" s="567" t="s">
        <v>1002</v>
      </c>
      <c r="L15" s="567" t="s">
        <v>1003</v>
      </c>
      <c r="M15" s="567" t="s">
        <v>1004</v>
      </c>
      <c r="N15" s="567" t="s">
        <v>1013</v>
      </c>
      <c r="O15" s="567" t="s">
        <v>1014</v>
      </c>
      <c r="P15" s="567" t="s">
        <v>1009</v>
      </c>
      <c r="Q15" s="567" t="s">
        <v>1008</v>
      </c>
      <c r="R15" s="567">
        <v>80</v>
      </c>
    </row>
    <row r="16" spans="1:18" ht="15" x14ac:dyDescent="0.2">
      <c r="A16" s="567"/>
      <c r="B16" s="567"/>
      <c r="C16" s="567"/>
      <c r="D16" s="569">
        <v>0.33013888888888893</v>
      </c>
      <c r="E16" s="567">
        <v>0</v>
      </c>
      <c r="F16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7" width="7.625" style="568" bestFit="1" customWidth="1"/>
    <col min="8" max="8" width="2.25" style="568" bestFit="1" customWidth="1"/>
    <col min="9" max="9" width="4.375" style="568" bestFit="1" customWidth="1"/>
    <col min="10" max="10" width="8.375" style="568" bestFit="1" customWidth="1"/>
    <col min="11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3" width="7.625" style="568" bestFit="1" customWidth="1"/>
    <col min="264" max="264" width="2.25" style="568" bestFit="1" customWidth="1"/>
    <col min="265" max="265" width="4.375" style="568" bestFit="1" customWidth="1"/>
    <col min="266" max="266" width="8.375" style="568" bestFit="1" customWidth="1"/>
    <col min="267" max="269" width="8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19" width="7.625" style="568" bestFit="1" customWidth="1"/>
    <col min="520" max="520" width="2.25" style="568" bestFit="1" customWidth="1"/>
    <col min="521" max="521" width="4.375" style="568" bestFit="1" customWidth="1"/>
    <col min="522" max="522" width="8.375" style="568" bestFit="1" customWidth="1"/>
    <col min="523" max="525" width="8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5" width="7.625" style="568" bestFit="1" customWidth="1"/>
    <col min="776" max="776" width="2.25" style="568" bestFit="1" customWidth="1"/>
    <col min="777" max="777" width="4.375" style="568" bestFit="1" customWidth="1"/>
    <col min="778" max="778" width="8.375" style="568" bestFit="1" customWidth="1"/>
    <col min="779" max="781" width="8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1" width="7.625" style="568" bestFit="1" customWidth="1"/>
    <col min="1032" max="1032" width="2.25" style="568" bestFit="1" customWidth="1"/>
    <col min="1033" max="1033" width="4.375" style="568" bestFit="1" customWidth="1"/>
    <col min="1034" max="1034" width="8.375" style="568" bestFit="1" customWidth="1"/>
    <col min="1035" max="1037" width="8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7" width="7.625" style="568" bestFit="1" customWidth="1"/>
    <col min="1288" max="1288" width="2.25" style="568" bestFit="1" customWidth="1"/>
    <col min="1289" max="1289" width="4.375" style="568" bestFit="1" customWidth="1"/>
    <col min="1290" max="1290" width="8.375" style="568" bestFit="1" customWidth="1"/>
    <col min="1291" max="1293" width="8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3" width="7.625" style="568" bestFit="1" customWidth="1"/>
    <col min="1544" max="1544" width="2.25" style="568" bestFit="1" customWidth="1"/>
    <col min="1545" max="1545" width="4.375" style="568" bestFit="1" customWidth="1"/>
    <col min="1546" max="1546" width="8.375" style="568" bestFit="1" customWidth="1"/>
    <col min="1547" max="1549" width="8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799" width="7.625" style="568" bestFit="1" customWidth="1"/>
    <col min="1800" max="1800" width="2.25" style="568" bestFit="1" customWidth="1"/>
    <col min="1801" max="1801" width="4.375" style="568" bestFit="1" customWidth="1"/>
    <col min="1802" max="1802" width="8.375" style="568" bestFit="1" customWidth="1"/>
    <col min="1803" max="1805" width="8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5" width="7.625" style="568" bestFit="1" customWidth="1"/>
    <col min="2056" max="2056" width="2.25" style="568" bestFit="1" customWidth="1"/>
    <col min="2057" max="2057" width="4.375" style="568" bestFit="1" customWidth="1"/>
    <col min="2058" max="2058" width="8.375" style="568" bestFit="1" customWidth="1"/>
    <col min="2059" max="2061" width="8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1" width="7.625" style="568" bestFit="1" customWidth="1"/>
    <col min="2312" max="2312" width="2.25" style="568" bestFit="1" customWidth="1"/>
    <col min="2313" max="2313" width="4.375" style="568" bestFit="1" customWidth="1"/>
    <col min="2314" max="2314" width="8.375" style="568" bestFit="1" customWidth="1"/>
    <col min="2315" max="2317" width="8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7" width="7.625" style="568" bestFit="1" customWidth="1"/>
    <col min="2568" max="2568" width="2.25" style="568" bestFit="1" customWidth="1"/>
    <col min="2569" max="2569" width="4.375" style="568" bestFit="1" customWidth="1"/>
    <col min="2570" max="2570" width="8.375" style="568" bestFit="1" customWidth="1"/>
    <col min="2571" max="2573" width="8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3" width="7.625" style="568" bestFit="1" customWidth="1"/>
    <col min="2824" max="2824" width="2.25" style="568" bestFit="1" customWidth="1"/>
    <col min="2825" max="2825" width="4.375" style="568" bestFit="1" customWidth="1"/>
    <col min="2826" max="2826" width="8.375" style="568" bestFit="1" customWidth="1"/>
    <col min="2827" max="2829" width="8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79" width="7.625" style="568" bestFit="1" customWidth="1"/>
    <col min="3080" max="3080" width="2.25" style="568" bestFit="1" customWidth="1"/>
    <col min="3081" max="3081" width="4.375" style="568" bestFit="1" customWidth="1"/>
    <col min="3082" max="3082" width="8.375" style="568" bestFit="1" customWidth="1"/>
    <col min="3083" max="3085" width="8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5" width="7.625" style="568" bestFit="1" customWidth="1"/>
    <col min="3336" max="3336" width="2.25" style="568" bestFit="1" customWidth="1"/>
    <col min="3337" max="3337" width="4.375" style="568" bestFit="1" customWidth="1"/>
    <col min="3338" max="3338" width="8.375" style="568" bestFit="1" customWidth="1"/>
    <col min="3339" max="3341" width="8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1" width="7.625" style="568" bestFit="1" customWidth="1"/>
    <col min="3592" max="3592" width="2.25" style="568" bestFit="1" customWidth="1"/>
    <col min="3593" max="3593" width="4.375" style="568" bestFit="1" customWidth="1"/>
    <col min="3594" max="3594" width="8.375" style="568" bestFit="1" customWidth="1"/>
    <col min="3595" max="3597" width="8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7" width="7.625" style="568" bestFit="1" customWidth="1"/>
    <col min="3848" max="3848" width="2.25" style="568" bestFit="1" customWidth="1"/>
    <col min="3849" max="3849" width="4.375" style="568" bestFit="1" customWidth="1"/>
    <col min="3850" max="3850" width="8.375" style="568" bestFit="1" customWidth="1"/>
    <col min="3851" max="3853" width="8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3" width="7.625" style="568" bestFit="1" customWidth="1"/>
    <col min="4104" max="4104" width="2.25" style="568" bestFit="1" customWidth="1"/>
    <col min="4105" max="4105" width="4.375" style="568" bestFit="1" customWidth="1"/>
    <col min="4106" max="4106" width="8.375" style="568" bestFit="1" customWidth="1"/>
    <col min="4107" max="4109" width="8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59" width="7.625" style="568" bestFit="1" customWidth="1"/>
    <col min="4360" max="4360" width="2.25" style="568" bestFit="1" customWidth="1"/>
    <col min="4361" max="4361" width="4.375" style="568" bestFit="1" customWidth="1"/>
    <col min="4362" max="4362" width="8.375" style="568" bestFit="1" customWidth="1"/>
    <col min="4363" max="4365" width="8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5" width="7.625" style="568" bestFit="1" customWidth="1"/>
    <col min="4616" max="4616" width="2.25" style="568" bestFit="1" customWidth="1"/>
    <col min="4617" max="4617" width="4.375" style="568" bestFit="1" customWidth="1"/>
    <col min="4618" max="4618" width="8.375" style="568" bestFit="1" customWidth="1"/>
    <col min="4619" max="4621" width="8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1" width="7.625" style="568" bestFit="1" customWidth="1"/>
    <col min="4872" max="4872" width="2.25" style="568" bestFit="1" customWidth="1"/>
    <col min="4873" max="4873" width="4.375" style="568" bestFit="1" customWidth="1"/>
    <col min="4874" max="4874" width="8.375" style="568" bestFit="1" customWidth="1"/>
    <col min="4875" max="4877" width="8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7" width="7.625" style="568" bestFit="1" customWidth="1"/>
    <col min="5128" max="5128" width="2.25" style="568" bestFit="1" customWidth="1"/>
    <col min="5129" max="5129" width="4.375" style="568" bestFit="1" customWidth="1"/>
    <col min="5130" max="5130" width="8.375" style="568" bestFit="1" customWidth="1"/>
    <col min="5131" max="5133" width="8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3" width="7.625" style="568" bestFit="1" customWidth="1"/>
    <col min="5384" max="5384" width="2.25" style="568" bestFit="1" customWidth="1"/>
    <col min="5385" max="5385" width="4.375" style="568" bestFit="1" customWidth="1"/>
    <col min="5386" max="5386" width="8.375" style="568" bestFit="1" customWidth="1"/>
    <col min="5387" max="5389" width="8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39" width="7.625" style="568" bestFit="1" customWidth="1"/>
    <col min="5640" max="5640" width="2.25" style="568" bestFit="1" customWidth="1"/>
    <col min="5641" max="5641" width="4.375" style="568" bestFit="1" customWidth="1"/>
    <col min="5642" max="5642" width="8.375" style="568" bestFit="1" customWidth="1"/>
    <col min="5643" max="5645" width="8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5" width="7.625" style="568" bestFit="1" customWidth="1"/>
    <col min="5896" max="5896" width="2.25" style="568" bestFit="1" customWidth="1"/>
    <col min="5897" max="5897" width="4.375" style="568" bestFit="1" customWidth="1"/>
    <col min="5898" max="5898" width="8.375" style="568" bestFit="1" customWidth="1"/>
    <col min="5899" max="5901" width="8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1" width="7.625" style="568" bestFit="1" customWidth="1"/>
    <col min="6152" max="6152" width="2.25" style="568" bestFit="1" customWidth="1"/>
    <col min="6153" max="6153" width="4.375" style="568" bestFit="1" customWidth="1"/>
    <col min="6154" max="6154" width="8.375" style="568" bestFit="1" customWidth="1"/>
    <col min="6155" max="6157" width="8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7" width="7.625" style="568" bestFit="1" customWidth="1"/>
    <col min="6408" max="6408" width="2.25" style="568" bestFit="1" customWidth="1"/>
    <col min="6409" max="6409" width="4.375" style="568" bestFit="1" customWidth="1"/>
    <col min="6410" max="6410" width="8.375" style="568" bestFit="1" customWidth="1"/>
    <col min="6411" max="6413" width="8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3" width="7.625" style="568" bestFit="1" customWidth="1"/>
    <col min="6664" max="6664" width="2.25" style="568" bestFit="1" customWidth="1"/>
    <col min="6665" max="6665" width="4.375" style="568" bestFit="1" customWidth="1"/>
    <col min="6666" max="6666" width="8.375" style="568" bestFit="1" customWidth="1"/>
    <col min="6667" max="6669" width="8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19" width="7.625" style="568" bestFit="1" customWidth="1"/>
    <col min="6920" max="6920" width="2.25" style="568" bestFit="1" customWidth="1"/>
    <col min="6921" max="6921" width="4.375" style="568" bestFit="1" customWidth="1"/>
    <col min="6922" max="6922" width="8.375" style="568" bestFit="1" customWidth="1"/>
    <col min="6923" max="6925" width="8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5" width="7.625" style="568" bestFit="1" customWidth="1"/>
    <col min="7176" max="7176" width="2.25" style="568" bestFit="1" customWidth="1"/>
    <col min="7177" max="7177" width="4.375" style="568" bestFit="1" customWidth="1"/>
    <col min="7178" max="7178" width="8.375" style="568" bestFit="1" customWidth="1"/>
    <col min="7179" max="7181" width="8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1" width="7.625" style="568" bestFit="1" customWidth="1"/>
    <col min="7432" max="7432" width="2.25" style="568" bestFit="1" customWidth="1"/>
    <col min="7433" max="7433" width="4.375" style="568" bestFit="1" customWidth="1"/>
    <col min="7434" max="7434" width="8.375" style="568" bestFit="1" customWidth="1"/>
    <col min="7435" max="7437" width="8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7" width="7.625" style="568" bestFit="1" customWidth="1"/>
    <col min="7688" max="7688" width="2.25" style="568" bestFit="1" customWidth="1"/>
    <col min="7689" max="7689" width="4.375" style="568" bestFit="1" customWidth="1"/>
    <col min="7690" max="7690" width="8.375" style="568" bestFit="1" customWidth="1"/>
    <col min="7691" max="7693" width="8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3" width="7.625" style="568" bestFit="1" customWidth="1"/>
    <col min="7944" max="7944" width="2.25" style="568" bestFit="1" customWidth="1"/>
    <col min="7945" max="7945" width="4.375" style="568" bestFit="1" customWidth="1"/>
    <col min="7946" max="7946" width="8.375" style="568" bestFit="1" customWidth="1"/>
    <col min="7947" max="7949" width="8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199" width="7.625" style="568" bestFit="1" customWidth="1"/>
    <col min="8200" max="8200" width="2.25" style="568" bestFit="1" customWidth="1"/>
    <col min="8201" max="8201" width="4.375" style="568" bestFit="1" customWidth="1"/>
    <col min="8202" max="8202" width="8.375" style="568" bestFit="1" customWidth="1"/>
    <col min="8203" max="8205" width="8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5" width="7.625" style="568" bestFit="1" customWidth="1"/>
    <col min="8456" max="8456" width="2.25" style="568" bestFit="1" customWidth="1"/>
    <col min="8457" max="8457" width="4.375" style="568" bestFit="1" customWidth="1"/>
    <col min="8458" max="8458" width="8.375" style="568" bestFit="1" customWidth="1"/>
    <col min="8459" max="8461" width="8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1" width="7.625" style="568" bestFit="1" customWidth="1"/>
    <col min="8712" max="8712" width="2.25" style="568" bestFit="1" customWidth="1"/>
    <col min="8713" max="8713" width="4.375" style="568" bestFit="1" customWidth="1"/>
    <col min="8714" max="8714" width="8.375" style="568" bestFit="1" customWidth="1"/>
    <col min="8715" max="8717" width="8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7" width="7.625" style="568" bestFit="1" customWidth="1"/>
    <col min="8968" max="8968" width="2.25" style="568" bestFit="1" customWidth="1"/>
    <col min="8969" max="8969" width="4.375" style="568" bestFit="1" customWidth="1"/>
    <col min="8970" max="8970" width="8.375" style="568" bestFit="1" customWidth="1"/>
    <col min="8971" max="8973" width="8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3" width="7.625" style="568" bestFit="1" customWidth="1"/>
    <col min="9224" max="9224" width="2.25" style="568" bestFit="1" customWidth="1"/>
    <col min="9225" max="9225" width="4.375" style="568" bestFit="1" customWidth="1"/>
    <col min="9226" max="9226" width="8.375" style="568" bestFit="1" customWidth="1"/>
    <col min="9227" max="9229" width="8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79" width="7.625" style="568" bestFit="1" customWidth="1"/>
    <col min="9480" max="9480" width="2.25" style="568" bestFit="1" customWidth="1"/>
    <col min="9481" max="9481" width="4.375" style="568" bestFit="1" customWidth="1"/>
    <col min="9482" max="9482" width="8.375" style="568" bestFit="1" customWidth="1"/>
    <col min="9483" max="9485" width="8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5" width="7.625" style="568" bestFit="1" customWidth="1"/>
    <col min="9736" max="9736" width="2.25" style="568" bestFit="1" customWidth="1"/>
    <col min="9737" max="9737" width="4.375" style="568" bestFit="1" customWidth="1"/>
    <col min="9738" max="9738" width="8.375" style="568" bestFit="1" customWidth="1"/>
    <col min="9739" max="9741" width="8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1" width="7.625" style="568" bestFit="1" customWidth="1"/>
    <col min="9992" max="9992" width="2.25" style="568" bestFit="1" customWidth="1"/>
    <col min="9993" max="9993" width="4.375" style="568" bestFit="1" customWidth="1"/>
    <col min="9994" max="9994" width="8.375" style="568" bestFit="1" customWidth="1"/>
    <col min="9995" max="9997" width="8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7" width="7.625" style="568" bestFit="1" customWidth="1"/>
    <col min="10248" max="10248" width="2.25" style="568" bestFit="1" customWidth="1"/>
    <col min="10249" max="10249" width="4.375" style="568" bestFit="1" customWidth="1"/>
    <col min="10250" max="10250" width="8.375" style="568" bestFit="1" customWidth="1"/>
    <col min="10251" max="10253" width="8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3" width="7.625" style="568" bestFit="1" customWidth="1"/>
    <col min="10504" max="10504" width="2.25" style="568" bestFit="1" customWidth="1"/>
    <col min="10505" max="10505" width="4.375" style="568" bestFit="1" customWidth="1"/>
    <col min="10506" max="10506" width="8.375" style="568" bestFit="1" customWidth="1"/>
    <col min="10507" max="10509" width="8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59" width="7.625" style="568" bestFit="1" customWidth="1"/>
    <col min="10760" max="10760" width="2.25" style="568" bestFit="1" customWidth="1"/>
    <col min="10761" max="10761" width="4.375" style="568" bestFit="1" customWidth="1"/>
    <col min="10762" max="10762" width="8.375" style="568" bestFit="1" customWidth="1"/>
    <col min="10763" max="10765" width="8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5" width="7.625" style="568" bestFit="1" customWidth="1"/>
    <col min="11016" max="11016" width="2.25" style="568" bestFit="1" customWidth="1"/>
    <col min="11017" max="11017" width="4.375" style="568" bestFit="1" customWidth="1"/>
    <col min="11018" max="11018" width="8.375" style="568" bestFit="1" customWidth="1"/>
    <col min="11019" max="11021" width="8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1" width="7.625" style="568" bestFit="1" customWidth="1"/>
    <col min="11272" max="11272" width="2.25" style="568" bestFit="1" customWidth="1"/>
    <col min="11273" max="11273" width="4.375" style="568" bestFit="1" customWidth="1"/>
    <col min="11274" max="11274" width="8.375" style="568" bestFit="1" customWidth="1"/>
    <col min="11275" max="11277" width="8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7" width="7.625" style="568" bestFit="1" customWidth="1"/>
    <col min="11528" max="11528" width="2.25" style="568" bestFit="1" customWidth="1"/>
    <col min="11529" max="11529" width="4.375" style="568" bestFit="1" customWidth="1"/>
    <col min="11530" max="11530" width="8.375" style="568" bestFit="1" customWidth="1"/>
    <col min="11531" max="11533" width="8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3" width="7.625" style="568" bestFit="1" customWidth="1"/>
    <col min="11784" max="11784" width="2.25" style="568" bestFit="1" customWidth="1"/>
    <col min="11785" max="11785" width="4.375" style="568" bestFit="1" customWidth="1"/>
    <col min="11786" max="11786" width="8.375" style="568" bestFit="1" customWidth="1"/>
    <col min="11787" max="11789" width="8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39" width="7.625" style="568" bestFit="1" customWidth="1"/>
    <col min="12040" max="12040" width="2.25" style="568" bestFit="1" customWidth="1"/>
    <col min="12041" max="12041" width="4.375" style="568" bestFit="1" customWidth="1"/>
    <col min="12042" max="12042" width="8.375" style="568" bestFit="1" customWidth="1"/>
    <col min="12043" max="12045" width="8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5" width="7.625" style="568" bestFit="1" customWidth="1"/>
    <col min="12296" max="12296" width="2.25" style="568" bestFit="1" customWidth="1"/>
    <col min="12297" max="12297" width="4.375" style="568" bestFit="1" customWidth="1"/>
    <col min="12298" max="12298" width="8.375" style="568" bestFit="1" customWidth="1"/>
    <col min="12299" max="12301" width="8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1" width="7.625" style="568" bestFit="1" customWidth="1"/>
    <col min="12552" max="12552" width="2.25" style="568" bestFit="1" customWidth="1"/>
    <col min="12553" max="12553" width="4.375" style="568" bestFit="1" customWidth="1"/>
    <col min="12554" max="12554" width="8.375" style="568" bestFit="1" customWidth="1"/>
    <col min="12555" max="12557" width="8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7" width="7.625" style="568" bestFit="1" customWidth="1"/>
    <col min="12808" max="12808" width="2.25" style="568" bestFit="1" customWidth="1"/>
    <col min="12809" max="12809" width="4.375" style="568" bestFit="1" customWidth="1"/>
    <col min="12810" max="12810" width="8.375" style="568" bestFit="1" customWidth="1"/>
    <col min="12811" max="12813" width="8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3" width="7.625" style="568" bestFit="1" customWidth="1"/>
    <col min="13064" max="13064" width="2.25" style="568" bestFit="1" customWidth="1"/>
    <col min="13065" max="13065" width="4.375" style="568" bestFit="1" customWidth="1"/>
    <col min="13066" max="13066" width="8.375" style="568" bestFit="1" customWidth="1"/>
    <col min="13067" max="13069" width="8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19" width="7.625" style="568" bestFit="1" customWidth="1"/>
    <col min="13320" max="13320" width="2.25" style="568" bestFit="1" customWidth="1"/>
    <col min="13321" max="13321" width="4.375" style="568" bestFit="1" customWidth="1"/>
    <col min="13322" max="13322" width="8.375" style="568" bestFit="1" customWidth="1"/>
    <col min="13323" max="13325" width="8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5" width="7.625" style="568" bestFit="1" customWidth="1"/>
    <col min="13576" max="13576" width="2.25" style="568" bestFit="1" customWidth="1"/>
    <col min="13577" max="13577" width="4.375" style="568" bestFit="1" customWidth="1"/>
    <col min="13578" max="13578" width="8.375" style="568" bestFit="1" customWidth="1"/>
    <col min="13579" max="13581" width="8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1" width="7.625" style="568" bestFit="1" customWidth="1"/>
    <col min="13832" max="13832" width="2.25" style="568" bestFit="1" customWidth="1"/>
    <col min="13833" max="13833" width="4.375" style="568" bestFit="1" customWidth="1"/>
    <col min="13834" max="13834" width="8.375" style="568" bestFit="1" customWidth="1"/>
    <col min="13835" max="13837" width="8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7" width="7.625" style="568" bestFit="1" customWidth="1"/>
    <col min="14088" max="14088" width="2.25" style="568" bestFit="1" customWidth="1"/>
    <col min="14089" max="14089" width="4.375" style="568" bestFit="1" customWidth="1"/>
    <col min="14090" max="14090" width="8.375" style="568" bestFit="1" customWidth="1"/>
    <col min="14091" max="14093" width="8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3" width="7.625" style="568" bestFit="1" customWidth="1"/>
    <col min="14344" max="14344" width="2.25" style="568" bestFit="1" customWidth="1"/>
    <col min="14345" max="14345" width="4.375" style="568" bestFit="1" customWidth="1"/>
    <col min="14346" max="14346" width="8.375" style="568" bestFit="1" customWidth="1"/>
    <col min="14347" max="14349" width="8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599" width="7.625" style="568" bestFit="1" customWidth="1"/>
    <col min="14600" max="14600" width="2.25" style="568" bestFit="1" customWidth="1"/>
    <col min="14601" max="14601" width="4.375" style="568" bestFit="1" customWidth="1"/>
    <col min="14602" max="14602" width="8.375" style="568" bestFit="1" customWidth="1"/>
    <col min="14603" max="14605" width="8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5" width="7.625" style="568" bestFit="1" customWidth="1"/>
    <col min="14856" max="14856" width="2.25" style="568" bestFit="1" customWidth="1"/>
    <col min="14857" max="14857" width="4.375" style="568" bestFit="1" customWidth="1"/>
    <col min="14858" max="14858" width="8.375" style="568" bestFit="1" customWidth="1"/>
    <col min="14859" max="14861" width="8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1" width="7.625" style="568" bestFit="1" customWidth="1"/>
    <col min="15112" max="15112" width="2.25" style="568" bestFit="1" customWidth="1"/>
    <col min="15113" max="15113" width="4.375" style="568" bestFit="1" customWidth="1"/>
    <col min="15114" max="15114" width="8.375" style="568" bestFit="1" customWidth="1"/>
    <col min="15115" max="15117" width="8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7" width="7.625" style="568" bestFit="1" customWidth="1"/>
    <col min="15368" max="15368" width="2.25" style="568" bestFit="1" customWidth="1"/>
    <col min="15369" max="15369" width="4.375" style="568" bestFit="1" customWidth="1"/>
    <col min="15370" max="15370" width="8.375" style="568" bestFit="1" customWidth="1"/>
    <col min="15371" max="15373" width="8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3" width="7.625" style="568" bestFit="1" customWidth="1"/>
    <col min="15624" max="15624" width="2.25" style="568" bestFit="1" customWidth="1"/>
    <col min="15625" max="15625" width="4.375" style="568" bestFit="1" customWidth="1"/>
    <col min="15626" max="15626" width="8.375" style="568" bestFit="1" customWidth="1"/>
    <col min="15627" max="15629" width="8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79" width="7.625" style="568" bestFit="1" customWidth="1"/>
    <col min="15880" max="15880" width="2.25" style="568" bestFit="1" customWidth="1"/>
    <col min="15881" max="15881" width="4.375" style="568" bestFit="1" customWidth="1"/>
    <col min="15882" max="15882" width="8.375" style="568" bestFit="1" customWidth="1"/>
    <col min="15883" max="15885" width="8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5" width="7.625" style="568" bestFit="1" customWidth="1"/>
    <col min="16136" max="16136" width="2.25" style="568" bestFit="1" customWidth="1"/>
    <col min="16137" max="16137" width="4.375" style="568" bestFit="1" customWidth="1"/>
    <col min="16138" max="16138" width="8.375" style="568" bestFit="1" customWidth="1"/>
    <col min="16139" max="16141" width="8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861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39</v>
      </c>
      <c r="J9" s="567" t="s">
        <v>327</v>
      </c>
      <c r="K9" s="567" t="s">
        <v>1002</v>
      </c>
      <c r="L9" s="567" t="s">
        <v>1003</v>
      </c>
      <c r="M9" s="567" t="s">
        <v>1004</v>
      </c>
      <c r="N9" s="567" t="s">
        <v>1011</v>
      </c>
      <c r="O9" s="567" t="s">
        <v>1012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3.9166666666666662E-2</v>
      </c>
      <c r="E10" s="567">
        <v>27072</v>
      </c>
      <c r="F10" s="567" t="s">
        <v>1001</v>
      </c>
      <c r="G10" s="567" t="s">
        <v>326</v>
      </c>
      <c r="H10" s="567">
        <v>0</v>
      </c>
      <c r="I10" s="567">
        <v>39</v>
      </c>
      <c r="J10" s="567" t="s">
        <v>327</v>
      </c>
      <c r="K10" s="567" t="s">
        <v>1002</v>
      </c>
      <c r="L10" s="567" t="s">
        <v>1003</v>
      </c>
      <c r="M10" s="567" t="s">
        <v>1004</v>
      </c>
      <c r="N10" s="567" t="s">
        <v>1011</v>
      </c>
      <c r="O10" s="567" t="s">
        <v>1012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4.1666666666666664E-2</v>
      </c>
      <c r="E11" s="567">
        <v>1728</v>
      </c>
      <c r="F11" s="567" t="s">
        <v>1001</v>
      </c>
      <c r="G11" s="567" t="s">
        <v>326</v>
      </c>
      <c r="H11" s="567">
        <v>0</v>
      </c>
      <c r="I11" s="567">
        <v>97</v>
      </c>
      <c r="J11" s="567" t="s">
        <v>327</v>
      </c>
      <c r="K11" s="567" t="s">
        <v>1002</v>
      </c>
      <c r="L11" s="567" t="s">
        <v>1003</v>
      </c>
      <c r="M11" s="567" t="s">
        <v>1004</v>
      </c>
      <c r="N11" s="567" t="s">
        <v>1011</v>
      </c>
      <c r="O11" s="567" t="s">
        <v>1012</v>
      </c>
      <c r="P11" s="567" t="s">
        <v>1007</v>
      </c>
      <c r="Q11" s="567" t="s">
        <v>1008</v>
      </c>
      <c r="R11" s="567">
        <v>80</v>
      </c>
    </row>
    <row r="12" spans="1:18" ht="15" x14ac:dyDescent="0.2">
      <c r="A12" s="567"/>
      <c r="B12" s="567"/>
      <c r="C12" s="567"/>
      <c r="D12" s="569">
        <v>0.15263888888888888</v>
      </c>
      <c r="E12" s="567">
        <v>76704</v>
      </c>
      <c r="F12" s="567" t="s">
        <v>1001</v>
      </c>
      <c r="G12" s="567" t="s">
        <v>326</v>
      </c>
      <c r="H12" s="567">
        <v>0</v>
      </c>
      <c r="I12" s="567">
        <v>97</v>
      </c>
      <c r="J12" s="567" t="s">
        <v>327</v>
      </c>
      <c r="K12" s="567" t="s">
        <v>1002</v>
      </c>
      <c r="L12" s="567" t="s">
        <v>1003</v>
      </c>
      <c r="M12" s="567" t="s">
        <v>1004</v>
      </c>
      <c r="N12" s="567" t="s">
        <v>1011</v>
      </c>
      <c r="O12" s="567" t="s">
        <v>1012</v>
      </c>
      <c r="P12" s="567" t="s">
        <v>1009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0.15972222222222224</v>
      </c>
      <c r="E13" s="567">
        <v>4896</v>
      </c>
      <c r="F13" s="567" t="s">
        <v>1001</v>
      </c>
      <c r="G13" s="567" t="s">
        <v>326</v>
      </c>
      <c r="H13" s="567">
        <v>0</v>
      </c>
      <c r="I13" s="567">
        <v>401</v>
      </c>
      <c r="J13" s="567" t="s">
        <v>327</v>
      </c>
      <c r="K13" s="567" t="s">
        <v>1002</v>
      </c>
      <c r="L13" s="567" t="s">
        <v>1003</v>
      </c>
      <c r="M13" s="567" t="s">
        <v>1004</v>
      </c>
      <c r="N13" s="567" t="s">
        <v>1011</v>
      </c>
      <c r="O13" s="567" t="s">
        <v>1012</v>
      </c>
      <c r="P13" s="567" t="s">
        <v>1007</v>
      </c>
      <c r="Q13" s="567" t="s">
        <v>1008</v>
      </c>
      <c r="R13" s="567">
        <v>80</v>
      </c>
    </row>
    <row r="14" spans="1:18" ht="15" x14ac:dyDescent="0.2">
      <c r="A14" s="567"/>
      <c r="B14" s="567"/>
      <c r="C14" s="567"/>
      <c r="D14" s="569">
        <v>0.32226851851851851</v>
      </c>
      <c r="E14" s="567">
        <v>112352</v>
      </c>
      <c r="F14" s="567" t="s">
        <v>1001</v>
      </c>
      <c r="G14" s="567" t="s">
        <v>326</v>
      </c>
      <c r="H14" s="567">
        <v>0</v>
      </c>
      <c r="I14" s="567">
        <v>401</v>
      </c>
      <c r="J14" s="567" t="s">
        <v>327</v>
      </c>
      <c r="K14" s="567" t="s">
        <v>1002</v>
      </c>
      <c r="L14" s="567" t="s">
        <v>1003</v>
      </c>
      <c r="M14" s="567" t="s">
        <v>1004</v>
      </c>
      <c r="N14" s="567" t="s">
        <v>1011</v>
      </c>
      <c r="O14" s="567" t="s">
        <v>1012</v>
      </c>
      <c r="P14" s="567" t="s">
        <v>1009</v>
      </c>
      <c r="Q14" s="567" t="s">
        <v>1008</v>
      </c>
      <c r="R14" s="567">
        <v>80</v>
      </c>
    </row>
    <row r="15" spans="1:18" ht="15" x14ac:dyDescent="0.2">
      <c r="A15" s="567"/>
      <c r="B15" s="567"/>
      <c r="C15" s="567"/>
      <c r="D15" s="569">
        <v>0.32226851851851851</v>
      </c>
      <c r="E15" s="567">
        <v>0</v>
      </c>
      <c r="F15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7" width="7.625" style="568" bestFit="1" customWidth="1"/>
    <col min="8" max="8" width="2.25" style="568" bestFit="1" customWidth="1"/>
    <col min="9" max="9" width="4.375" style="568" bestFit="1" customWidth="1"/>
    <col min="10" max="10" width="8.375" style="568" bestFit="1" customWidth="1"/>
    <col min="11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3" width="7.625" style="568" bestFit="1" customWidth="1"/>
    <col min="264" max="264" width="2.25" style="568" bestFit="1" customWidth="1"/>
    <col min="265" max="265" width="4.375" style="568" bestFit="1" customWidth="1"/>
    <col min="266" max="266" width="8.375" style="568" bestFit="1" customWidth="1"/>
    <col min="267" max="269" width="8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19" width="7.625" style="568" bestFit="1" customWidth="1"/>
    <col min="520" max="520" width="2.25" style="568" bestFit="1" customWidth="1"/>
    <col min="521" max="521" width="4.375" style="568" bestFit="1" customWidth="1"/>
    <col min="522" max="522" width="8.375" style="568" bestFit="1" customWidth="1"/>
    <col min="523" max="525" width="8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5" width="7.625" style="568" bestFit="1" customWidth="1"/>
    <col min="776" max="776" width="2.25" style="568" bestFit="1" customWidth="1"/>
    <col min="777" max="777" width="4.375" style="568" bestFit="1" customWidth="1"/>
    <col min="778" max="778" width="8.375" style="568" bestFit="1" customWidth="1"/>
    <col min="779" max="781" width="8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1" width="7.625" style="568" bestFit="1" customWidth="1"/>
    <col min="1032" max="1032" width="2.25" style="568" bestFit="1" customWidth="1"/>
    <col min="1033" max="1033" width="4.375" style="568" bestFit="1" customWidth="1"/>
    <col min="1034" max="1034" width="8.375" style="568" bestFit="1" customWidth="1"/>
    <col min="1035" max="1037" width="8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7" width="7.625" style="568" bestFit="1" customWidth="1"/>
    <col min="1288" max="1288" width="2.25" style="568" bestFit="1" customWidth="1"/>
    <col min="1289" max="1289" width="4.375" style="568" bestFit="1" customWidth="1"/>
    <col min="1290" max="1290" width="8.375" style="568" bestFit="1" customWidth="1"/>
    <col min="1291" max="1293" width="8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3" width="7.625" style="568" bestFit="1" customWidth="1"/>
    <col min="1544" max="1544" width="2.25" style="568" bestFit="1" customWidth="1"/>
    <col min="1545" max="1545" width="4.375" style="568" bestFit="1" customWidth="1"/>
    <col min="1546" max="1546" width="8.375" style="568" bestFit="1" customWidth="1"/>
    <col min="1547" max="1549" width="8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799" width="7.625" style="568" bestFit="1" customWidth="1"/>
    <col min="1800" max="1800" width="2.25" style="568" bestFit="1" customWidth="1"/>
    <col min="1801" max="1801" width="4.375" style="568" bestFit="1" customWidth="1"/>
    <col min="1802" max="1802" width="8.375" style="568" bestFit="1" customWidth="1"/>
    <col min="1803" max="1805" width="8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5" width="7.625" style="568" bestFit="1" customWidth="1"/>
    <col min="2056" max="2056" width="2.25" style="568" bestFit="1" customWidth="1"/>
    <col min="2057" max="2057" width="4.375" style="568" bestFit="1" customWidth="1"/>
    <col min="2058" max="2058" width="8.375" style="568" bestFit="1" customWidth="1"/>
    <col min="2059" max="2061" width="8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1" width="7.625" style="568" bestFit="1" customWidth="1"/>
    <col min="2312" max="2312" width="2.25" style="568" bestFit="1" customWidth="1"/>
    <col min="2313" max="2313" width="4.375" style="568" bestFit="1" customWidth="1"/>
    <col min="2314" max="2314" width="8.375" style="568" bestFit="1" customWidth="1"/>
    <col min="2315" max="2317" width="8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7" width="7.625" style="568" bestFit="1" customWidth="1"/>
    <col min="2568" max="2568" width="2.25" style="568" bestFit="1" customWidth="1"/>
    <col min="2569" max="2569" width="4.375" style="568" bestFit="1" customWidth="1"/>
    <col min="2570" max="2570" width="8.375" style="568" bestFit="1" customWidth="1"/>
    <col min="2571" max="2573" width="8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3" width="7.625" style="568" bestFit="1" customWidth="1"/>
    <col min="2824" max="2824" width="2.25" style="568" bestFit="1" customWidth="1"/>
    <col min="2825" max="2825" width="4.375" style="568" bestFit="1" customWidth="1"/>
    <col min="2826" max="2826" width="8.375" style="568" bestFit="1" customWidth="1"/>
    <col min="2827" max="2829" width="8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79" width="7.625" style="568" bestFit="1" customWidth="1"/>
    <col min="3080" max="3080" width="2.25" style="568" bestFit="1" customWidth="1"/>
    <col min="3081" max="3081" width="4.375" style="568" bestFit="1" customWidth="1"/>
    <col min="3082" max="3082" width="8.375" style="568" bestFit="1" customWidth="1"/>
    <col min="3083" max="3085" width="8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5" width="7.625" style="568" bestFit="1" customWidth="1"/>
    <col min="3336" max="3336" width="2.25" style="568" bestFit="1" customWidth="1"/>
    <col min="3337" max="3337" width="4.375" style="568" bestFit="1" customWidth="1"/>
    <col min="3338" max="3338" width="8.375" style="568" bestFit="1" customWidth="1"/>
    <col min="3339" max="3341" width="8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1" width="7.625" style="568" bestFit="1" customWidth="1"/>
    <col min="3592" max="3592" width="2.25" style="568" bestFit="1" customWidth="1"/>
    <col min="3593" max="3593" width="4.375" style="568" bestFit="1" customWidth="1"/>
    <col min="3594" max="3594" width="8.375" style="568" bestFit="1" customWidth="1"/>
    <col min="3595" max="3597" width="8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7" width="7.625" style="568" bestFit="1" customWidth="1"/>
    <col min="3848" max="3848" width="2.25" style="568" bestFit="1" customWidth="1"/>
    <col min="3849" max="3849" width="4.375" style="568" bestFit="1" customWidth="1"/>
    <col min="3850" max="3850" width="8.375" style="568" bestFit="1" customWidth="1"/>
    <col min="3851" max="3853" width="8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3" width="7.625" style="568" bestFit="1" customWidth="1"/>
    <col min="4104" max="4104" width="2.25" style="568" bestFit="1" customWidth="1"/>
    <col min="4105" max="4105" width="4.375" style="568" bestFit="1" customWidth="1"/>
    <col min="4106" max="4106" width="8.375" style="568" bestFit="1" customWidth="1"/>
    <col min="4107" max="4109" width="8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59" width="7.625" style="568" bestFit="1" customWidth="1"/>
    <col min="4360" max="4360" width="2.25" style="568" bestFit="1" customWidth="1"/>
    <col min="4361" max="4361" width="4.375" style="568" bestFit="1" customWidth="1"/>
    <col min="4362" max="4362" width="8.375" style="568" bestFit="1" customWidth="1"/>
    <col min="4363" max="4365" width="8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5" width="7.625" style="568" bestFit="1" customWidth="1"/>
    <col min="4616" max="4616" width="2.25" style="568" bestFit="1" customWidth="1"/>
    <col min="4617" max="4617" width="4.375" style="568" bestFit="1" customWidth="1"/>
    <col min="4618" max="4618" width="8.375" style="568" bestFit="1" customWidth="1"/>
    <col min="4619" max="4621" width="8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1" width="7.625" style="568" bestFit="1" customWidth="1"/>
    <col min="4872" max="4872" width="2.25" style="568" bestFit="1" customWidth="1"/>
    <col min="4873" max="4873" width="4.375" style="568" bestFit="1" customWidth="1"/>
    <col min="4874" max="4874" width="8.375" style="568" bestFit="1" customWidth="1"/>
    <col min="4875" max="4877" width="8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7" width="7.625" style="568" bestFit="1" customWidth="1"/>
    <col min="5128" max="5128" width="2.25" style="568" bestFit="1" customWidth="1"/>
    <col min="5129" max="5129" width="4.375" style="568" bestFit="1" customWidth="1"/>
    <col min="5130" max="5130" width="8.375" style="568" bestFit="1" customWidth="1"/>
    <col min="5131" max="5133" width="8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3" width="7.625" style="568" bestFit="1" customWidth="1"/>
    <col min="5384" max="5384" width="2.25" style="568" bestFit="1" customWidth="1"/>
    <col min="5385" max="5385" width="4.375" style="568" bestFit="1" customWidth="1"/>
    <col min="5386" max="5386" width="8.375" style="568" bestFit="1" customWidth="1"/>
    <col min="5387" max="5389" width="8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39" width="7.625" style="568" bestFit="1" customWidth="1"/>
    <col min="5640" max="5640" width="2.25" style="568" bestFit="1" customWidth="1"/>
    <col min="5641" max="5641" width="4.375" style="568" bestFit="1" customWidth="1"/>
    <col min="5642" max="5642" width="8.375" style="568" bestFit="1" customWidth="1"/>
    <col min="5643" max="5645" width="8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5" width="7.625" style="568" bestFit="1" customWidth="1"/>
    <col min="5896" max="5896" width="2.25" style="568" bestFit="1" customWidth="1"/>
    <col min="5897" max="5897" width="4.375" style="568" bestFit="1" customWidth="1"/>
    <col min="5898" max="5898" width="8.375" style="568" bestFit="1" customWidth="1"/>
    <col min="5899" max="5901" width="8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1" width="7.625" style="568" bestFit="1" customWidth="1"/>
    <col min="6152" max="6152" width="2.25" style="568" bestFit="1" customWidth="1"/>
    <col min="6153" max="6153" width="4.375" style="568" bestFit="1" customWidth="1"/>
    <col min="6154" max="6154" width="8.375" style="568" bestFit="1" customWidth="1"/>
    <col min="6155" max="6157" width="8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7" width="7.625" style="568" bestFit="1" customWidth="1"/>
    <col min="6408" max="6408" width="2.25" style="568" bestFit="1" customWidth="1"/>
    <col min="6409" max="6409" width="4.375" style="568" bestFit="1" customWidth="1"/>
    <col min="6410" max="6410" width="8.375" style="568" bestFit="1" customWidth="1"/>
    <col min="6411" max="6413" width="8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3" width="7.625" style="568" bestFit="1" customWidth="1"/>
    <col min="6664" max="6664" width="2.25" style="568" bestFit="1" customWidth="1"/>
    <col min="6665" max="6665" width="4.375" style="568" bestFit="1" customWidth="1"/>
    <col min="6666" max="6666" width="8.375" style="568" bestFit="1" customWidth="1"/>
    <col min="6667" max="6669" width="8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19" width="7.625" style="568" bestFit="1" customWidth="1"/>
    <col min="6920" max="6920" width="2.25" style="568" bestFit="1" customWidth="1"/>
    <col min="6921" max="6921" width="4.375" style="568" bestFit="1" customWidth="1"/>
    <col min="6922" max="6922" width="8.375" style="568" bestFit="1" customWidth="1"/>
    <col min="6923" max="6925" width="8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5" width="7.625" style="568" bestFit="1" customWidth="1"/>
    <col min="7176" max="7176" width="2.25" style="568" bestFit="1" customWidth="1"/>
    <col min="7177" max="7177" width="4.375" style="568" bestFit="1" customWidth="1"/>
    <col min="7178" max="7178" width="8.375" style="568" bestFit="1" customWidth="1"/>
    <col min="7179" max="7181" width="8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1" width="7.625" style="568" bestFit="1" customWidth="1"/>
    <col min="7432" max="7432" width="2.25" style="568" bestFit="1" customWidth="1"/>
    <col min="7433" max="7433" width="4.375" style="568" bestFit="1" customWidth="1"/>
    <col min="7434" max="7434" width="8.375" style="568" bestFit="1" customWidth="1"/>
    <col min="7435" max="7437" width="8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7" width="7.625" style="568" bestFit="1" customWidth="1"/>
    <col min="7688" max="7688" width="2.25" style="568" bestFit="1" customWidth="1"/>
    <col min="7689" max="7689" width="4.375" style="568" bestFit="1" customWidth="1"/>
    <col min="7690" max="7690" width="8.375" style="568" bestFit="1" customWidth="1"/>
    <col min="7691" max="7693" width="8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3" width="7.625" style="568" bestFit="1" customWidth="1"/>
    <col min="7944" max="7944" width="2.25" style="568" bestFit="1" customWidth="1"/>
    <col min="7945" max="7945" width="4.375" style="568" bestFit="1" customWidth="1"/>
    <col min="7946" max="7946" width="8.375" style="568" bestFit="1" customWidth="1"/>
    <col min="7947" max="7949" width="8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199" width="7.625" style="568" bestFit="1" customWidth="1"/>
    <col min="8200" max="8200" width="2.25" style="568" bestFit="1" customWidth="1"/>
    <col min="8201" max="8201" width="4.375" style="568" bestFit="1" customWidth="1"/>
    <col min="8202" max="8202" width="8.375" style="568" bestFit="1" customWidth="1"/>
    <col min="8203" max="8205" width="8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5" width="7.625" style="568" bestFit="1" customWidth="1"/>
    <col min="8456" max="8456" width="2.25" style="568" bestFit="1" customWidth="1"/>
    <col min="8457" max="8457" width="4.375" style="568" bestFit="1" customWidth="1"/>
    <col min="8458" max="8458" width="8.375" style="568" bestFit="1" customWidth="1"/>
    <col min="8459" max="8461" width="8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1" width="7.625" style="568" bestFit="1" customWidth="1"/>
    <col min="8712" max="8712" width="2.25" style="568" bestFit="1" customWidth="1"/>
    <col min="8713" max="8713" width="4.375" style="568" bestFit="1" customWidth="1"/>
    <col min="8714" max="8714" width="8.375" style="568" bestFit="1" customWidth="1"/>
    <col min="8715" max="8717" width="8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7" width="7.625" style="568" bestFit="1" customWidth="1"/>
    <col min="8968" max="8968" width="2.25" style="568" bestFit="1" customWidth="1"/>
    <col min="8969" max="8969" width="4.375" style="568" bestFit="1" customWidth="1"/>
    <col min="8970" max="8970" width="8.375" style="568" bestFit="1" customWidth="1"/>
    <col min="8971" max="8973" width="8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3" width="7.625" style="568" bestFit="1" customWidth="1"/>
    <col min="9224" max="9224" width="2.25" style="568" bestFit="1" customWidth="1"/>
    <col min="9225" max="9225" width="4.375" style="568" bestFit="1" customWidth="1"/>
    <col min="9226" max="9226" width="8.375" style="568" bestFit="1" customWidth="1"/>
    <col min="9227" max="9229" width="8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79" width="7.625" style="568" bestFit="1" customWidth="1"/>
    <col min="9480" max="9480" width="2.25" style="568" bestFit="1" customWidth="1"/>
    <col min="9481" max="9481" width="4.375" style="568" bestFit="1" customWidth="1"/>
    <col min="9482" max="9482" width="8.375" style="568" bestFit="1" customWidth="1"/>
    <col min="9483" max="9485" width="8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5" width="7.625" style="568" bestFit="1" customWidth="1"/>
    <col min="9736" max="9736" width="2.25" style="568" bestFit="1" customWidth="1"/>
    <col min="9737" max="9737" width="4.375" style="568" bestFit="1" customWidth="1"/>
    <col min="9738" max="9738" width="8.375" style="568" bestFit="1" customWidth="1"/>
    <col min="9739" max="9741" width="8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1" width="7.625" style="568" bestFit="1" customWidth="1"/>
    <col min="9992" max="9992" width="2.25" style="568" bestFit="1" customWidth="1"/>
    <col min="9993" max="9993" width="4.375" style="568" bestFit="1" customWidth="1"/>
    <col min="9994" max="9994" width="8.375" style="568" bestFit="1" customWidth="1"/>
    <col min="9995" max="9997" width="8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7" width="7.625" style="568" bestFit="1" customWidth="1"/>
    <col min="10248" max="10248" width="2.25" style="568" bestFit="1" customWidth="1"/>
    <col min="10249" max="10249" width="4.375" style="568" bestFit="1" customWidth="1"/>
    <col min="10250" max="10250" width="8.375" style="568" bestFit="1" customWidth="1"/>
    <col min="10251" max="10253" width="8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3" width="7.625" style="568" bestFit="1" customWidth="1"/>
    <col min="10504" max="10504" width="2.25" style="568" bestFit="1" customWidth="1"/>
    <col min="10505" max="10505" width="4.375" style="568" bestFit="1" customWidth="1"/>
    <col min="10506" max="10506" width="8.375" style="568" bestFit="1" customWidth="1"/>
    <col min="10507" max="10509" width="8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59" width="7.625" style="568" bestFit="1" customWidth="1"/>
    <col min="10760" max="10760" width="2.25" style="568" bestFit="1" customWidth="1"/>
    <col min="10761" max="10761" width="4.375" style="568" bestFit="1" customWidth="1"/>
    <col min="10762" max="10762" width="8.375" style="568" bestFit="1" customWidth="1"/>
    <col min="10763" max="10765" width="8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5" width="7.625" style="568" bestFit="1" customWidth="1"/>
    <col min="11016" max="11016" width="2.25" style="568" bestFit="1" customWidth="1"/>
    <col min="11017" max="11017" width="4.375" style="568" bestFit="1" customWidth="1"/>
    <col min="11018" max="11018" width="8.375" style="568" bestFit="1" customWidth="1"/>
    <col min="11019" max="11021" width="8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1" width="7.625" style="568" bestFit="1" customWidth="1"/>
    <col min="11272" max="11272" width="2.25" style="568" bestFit="1" customWidth="1"/>
    <col min="11273" max="11273" width="4.375" style="568" bestFit="1" customWidth="1"/>
    <col min="11274" max="11274" width="8.375" style="568" bestFit="1" customWidth="1"/>
    <col min="11275" max="11277" width="8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7" width="7.625" style="568" bestFit="1" customWidth="1"/>
    <col min="11528" max="11528" width="2.25" style="568" bestFit="1" customWidth="1"/>
    <col min="11529" max="11529" width="4.375" style="568" bestFit="1" customWidth="1"/>
    <col min="11530" max="11530" width="8.375" style="568" bestFit="1" customWidth="1"/>
    <col min="11531" max="11533" width="8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3" width="7.625" style="568" bestFit="1" customWidth="1"/>
    <col min="11784" max="11784" width="2.25" style="568" bestFit="1" customWidth="1"/>
    <col min="11785" max="11785" width="4.375" style="568" bestFit="1" customWidth="1"/>
    <col min="11786" max="11786" width="8.375" style="568" bestFit="1" customWidth="1"/>
    <col min="11787" max="11789" width="8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39" width="7.625" style="568" bestFit="1" customWidth="1"/>
    <col min="12040" max="12040" width="2.25" style="568" bestFit="1" customWidth="1"/>
    <col min="12041" max="12041" width="4.375" style="568" bestFit="1" customWidth="1"/>
    <col min="12042" max="12042" width="8.375" style="568" bestFit="1" customWidth="1"/>
    <col min="12043" max="12045" width="8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5" width="7.625" style="568" bestFit="1" customWidth="1"/>
    <col min="12296" max="12296" width="2.25" style="568" bestFit="1" customWidth="1"/>
    <col min="12297" max="12297" width="4.375" style="568" bestFit="1" customWidth="1"/>
    <col min="12298" max="12298" width="8.375" style="568" bestFit="1" customWidth="1"/>
    <col min="12299" max="12301" width="8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1" width="7.625" style="568" bestFit="1" customWidth="1"/>
    <col min="12552" max="12552" width="2.25" style="568" bestFit="1" customWidth="1"/>
    <col min="12553" max="12553" width="4.375" style="568" bestFit="1" customWidth="1"/>
    <col min="12554" max="12554" width="8.375" style="568" bestFit="1" customWidth="1"/>
    <col min="12555" max="12557" width="8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7" width="7.625" style="568" bestFit="1" customWidth="1"/>
    <col min="12808" max="12808" width="2.25" style="568" bestFit="1" customWidth="1"/>
    <col min="12809" max="12809" width="4.375" style="568" bestFit="1" customWidth="1"/>
    <col min="12810" max="12810" width="8.375" style="568" bestFit="1" customWidth="1"/>
    <col min="12811" max="12813" width="8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3" width="7.625" style="568" bestFit="1" customWidth="1"/>
    <col min="13064" max="13064" width="2.25" style="568" bestFit="1" customWidth="1"/>
    <col min="13065" max="13065" width="4.375" style="568" bestFit="1" customWidth="1"/>
    <col min="13066" max="13066" width="8.375" style="568" bestFit="1" customWidth="1"/>
    <col min="13067" max="13069" width="8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19" width="7.625" style="568" bestFit="1" customWidth="1"/>
    <col min="13320" max="13320" width="2.25" style="568" bestFit="1" customWidth="1"/>
    <col min="13321" max="13321" width="4.375" style="568" bestFit="1" customWidth="1"/>
    <col min="13322" max="13322" width="8.375" style="568" bestFit="1" customWidth="1"/>
    <col min="13323" max="13325" width="8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5" width="7.625" style="568" bestFit="1" customWidth="1"/>
    <col min="13576" max="13576" width="2.25" style="568" bestFit="1" customWidth="1"/>
    <col min="13577" max="13577" width="4.375" style="568" bestFit="1" customWidth="1"/>
    <col min="13578" max="13578" width="8.375" style="568" bestFit="1" customWidth="1"/>
    <col min="13579" max="13581" width="8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1" width="7.625" style="568" bestFit="1" customWidth="1"/>
    <col min="13832" max="13832" width="2.25" style="568" bestFit="1" customWidth="1"/>
    <col min="13833" max="13833" width="4.375" style="568" bestFit="1" customWidth="1"/>
    <col min="13834" max="13834" width="8.375" style="568" bestFit="1" customWidth="1"/>
    <col min="13835" max="13837" width="8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7" width="7.625" style="568" bestFit="1" customWidth="1"/>
    <col min="14088" max="14088" width="2.25" style="568" bestFit="1" customWidth="1"/>
    <col min="14089" max="14089" width="4.375" style="568" bestFit="1" customWidth="1"/>
    <col min="14090" max="14090" width="8.375" style="568" bestFit="1" customWidth="1"/>
    <col min="14091" max="14093" width="8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3" width="7.625" style="568" bestFit="1" customWidth="1"/>
    <col min="14344" max="14344" width="2.25" style="568" bestFit="1" customWidth="1"/>
    <col min="14345" max="14345" width="4.375" style="568" bestFit="1" customWidth="1"/>
    <col min="14346" max="14346" width="8.375" style="568" bestFit="1" customWidth="1"/>
    <col min="14347" max="14349" width="8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599" width="7.625" style="568" bestFit="1" customWidth="1"/>
    <col min="14600" max="14600" width="2.25" style="568" bestFit="1" customWidth="1"/>
    <col min="14601" max="14601" width="4.375" style="568" bestFit="1" customWidth="1"/>
    <col min="14602" max="14602" width="8.375" style="568" bestFit="1" customWidth="1"/>
    <col min="14603" max="14605" width="8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5" width="7.625" style="568" bestFit="1" customWidth="1"/>
    <col min="14856" max="14856" width="2.25" style="568" bestFit="1" customWidth="1"/>
    <col min="14857" max="14857" width="4.375" style="568" bestFit="1" customWidth="1"/>
    <col min="14858" max="14858" width="8.375" style="568" bestFit="1" customWidth="1"/>
    <col min="14859" max="14861" width="8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1" width="7.625" style="568" bestFit="1" customWidth="1"/>
    <col min="15112" max="15112" width="2.25" style="568" bestFit="1" customWidth="1"/>
    <col min="15113" max="15113" width="4.375" style="568" bestFit="1" customWidth="1"/>
    <col min="15114" max="15114" width="8.375" style="568" bestFit="1" customWidth="1"/>
    <col min="15115" max="15117" width="8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7" width="7.625" style="568" bestFit="1" customWidth="1"/>
    <col min="15368" max="15368" width="2.25" style="568" bestFit="1" customWidth="1"/>
    <col min="15369" max="15369" width="4.375" style="568" bestFit="1" customWidth="1"/>
    <col min="15370" max="15370" width="8.375" style="568" bestFit="1" customWidth="1"/>
    <col min="15371" max="15373" width="8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3" width="7.625" style="568" bestFit="1" customWidth="1"/>
    <col min="15624" max="15624" width="2.25" style="568" bestFit="1" customWidth="1"/>
    <col min="15625" max="15625" width="4.375" style="568" bestFit="1" customWidth="1"/>
    <col min="15626" max="15626" width="8.375" style="568" bestFit="1" customWidth="1"/>
    <col min="15627" max="15629" width="8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79" width="7.625" style="568" bestFit="1" customWidth="1"/>
    <col min="15880" max="15880" width="2.25" style="568" bestFit="1" customWidth="1"/>
    <col min="15881" max="15881" width="4.375" style="568" bestFit="1" customWidth="1"/>
    <col min="15882" max="15882" width="8.375" style="568" bestFit="1" customWidth="1"/>
    <col min="15883" max="15885" width="8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5" width="7.625" style="568" bestFit="1" customWidth="1"/>
    <col min="16136" max="16136" width="2.25" style="568" bestFit="1" customWidth="1"/>
    <col min="16137" max="16137" width="4.375" style="568" bestFit="1" customWidth="1"/>
    <col min="16138" max="16138" width="8.375" style="568" bestFit="1" customWidth="1"/>
    <col min="16139" max="16141" width="8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862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401</v>
      </c>
      <c r="J9" s="567" t="s">
        <v>327</v>
      </c>
      <c r="K9" s="567" t="s">
        <v>1002</v>
      </c>
      <c r="L9" s="567" t="s">
        <v>1003</v>
      </c>
      <c r="M9" s="567" t="s">
        <v>1004</v>
      </c>
      <c r="N9" s="567" t="s">
        <v>1011</v>
      </c>
      <c r="O9" s="567" t="s">
        <v>1012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0.15601851851851853</v>
      </c>
      <c r="E10" s="567">
        <v>107840</v>
      </c>
      <c r="F10" s="567" t="s">
        <v>1001</v>
      </c>
      <c r="G10" s="567" t="s">
        <v>326</v>
      </c>
      <c r="H10" s="567">
        <v>0</v>
      </c>
      <c r="I10" s="567">
        <v>401</v>
      </c>
      <c r="J10" s="567" t="s">
        <v>327</v>
      </c>
      <c r="K10" s="567" t="s">
        <v>1002</v>
      </c>
      <c r="L10" s="567" t="s">
        <v>1003</v>
      </c>
      <c r="M10" s="567" t="s">
        <v>1004</v>
      </c>
      <c r="N10" s="567" t="s">
        <v>1011</v>
      </c>
      <c r="O10" s="567" t="s">
        <v>1012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0.16597222222222222</v>
      </c>
      <c r="E11" s="567">
        <v>6880</v>
      </c>
      <c r="F11" s="567" t="s">
        <v>1001</v>
      </c>
      <c r="G11" s="567" t="s">
        <v>326</v>
      </c>
      <c r="H11" s="567">
        <v>0</v>
      </c>
      <c r="I11" s="567">
        <v>97</v>
      </c>
      <c r="J11" s="567" t="s">
        <v>327</v>
      </c>
      <c r="K11" s="567" t="s">
        <v>1002</v>
      </c>
      <c r="L11" s="567" t="s">
        <v>1003</v>
      </c>
      <c r="M11" s="567" t="s">
        <v>1004</v>
      </c>
      <c r="N11" s="567" t="s">
        <v>1013</v>
      </c>
      <c r="O11" s="567" t="s">
        <v>1014</v>
      </c>
      <c r="P11" s="567" t="s">
        <v>1007</v>
      </c>
      <c r="Q11" s="567" t="s">
        <v>1008</v>
      </c>
      <c r="R11" s="567">
        <v>80</v>
      </c>
    </row>
    <row r="12" spans="1:18" ht="15" x14ac:dyDescent="0.2">
      <c r="A12" s="567"/>
      <c r="B12" s="567"/>
      <c r="C12" s="567"/>
      <c r="D12" s="569">
        <v>0.28347222222222224</v>
      </c>
      <c r="E12" s="567">
        <v>81216</v>
      </c>
      <c r="F12" s="567" t="s">
        <v>1001</v>
      </c>
      <c r="G12" s="567" t="s">
        <v>326</v>
      </c>
      <c r="H12" s="567">
        <v>0</v>
      </c>
      <c r="I12" s="567">
        <v>97</v>
      </c>
      <c r="J12" s="567" t="s">
        <v>327</v>
      </c>
      <c r="K12" s="567" t="s">
        <v>1002</v>
      </c>
      <c r="L12" s="567" t="s">
        <v>1003</v>
      </c>
      <c r="M12" s="567" t="s">
        <v>1004</v>
      </c>
      <c r="N12" s="567" t="s">
        <v>1013</v>
      </c>
      <c r="O12" s="567" t="s">
        <v>1014</v>
      </c>
      <c r="P12" s="567" t="s">
        <v>1009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0.29097222222222224</v>
      </c>
      <c r="E13" s="567">
        <v>5184</v>
      </c>
      <c r="F13" s="567" t="s">
        <v>1001</v>
      </c>
      <c r="G13" s="567" t="s">
        <v>326</v>
      </c>
      <c r="H13" s="567">
        <v>0</v>
      </c>
      <c r="I13" s="567">
        <v>39</v>
      </c>
      <c r="J13" s="567" t="s">
        <v>327</v>
      </c>
      <c r="K13" s="567" t="s">
        <v>1002</v>
      </c>
      <c r="L13" s="567" t="s">
        <v>1003</v>
      </c>
      <c r="M13" s="567" t="s">
        <v>1004</v>
      </c>
      <c r="N13" s="567" t="s">
        <v>1013</v>
      </c>
      <c r="O13" s="567" t="s">
        <v>1014</v>
      </c>
      <c r="P13" s="567" t="s">
        <v>1007</v>
      </c>
      <c r="Q13" s="567" t="s">
        <v>1008</v>
      </c>
      <c r="R13" s="567">
        <v>80</v>
      </c>
    </row>
    <row r="14" spans="1:18" ht="15" x14ac:dyDescent="0.2">
      <c r="A14" s="567"/>
      <c r="B14" s="567"/>
      <c r="C14" s="567"/>
      <c r="D14" s="569">
        <v>0.33013888888888893</v>
      </c>
      <c r="E14" s="567">
        <v>27072</v>
      </c>
      <c r="F14" s="567" t="s">
        <v>1001</v>
      </c>
      <c r="G14" s="567" t="s">
        <v>326</v>
      </c>
      <c r="H14" s="567">
        <v>0</v>
      </c>
      <c r="I14" s="567">
        <v>39</v>
      </c>
      <c r="J14" s="567" t="s">
        <v>327</v>
      </c>
      <c r="K14" s="567" t="s">
        <v>1002</v>
      </c>
      <c r="L14" s="567" t="s">
        <v>1003</v>
      </c>
      <c r="M14" s="567" t="s">
        <v>1004</v>
      </c>
      <c r="N14" s="567" t="s">
        <v>1013</v>
      </c>
      <c r="O14" s="567" t="s">
        <v>1014</v>
      </c>
      <c r="P14" s="567" t="s">
        <v>1009</v>
      </c>
      <c r="Q14" s="567" t="s">
        <v>1008</v>
      </c>
      <c r="R14" s="567">
        <v>80</v>
      </c>
    </row>
    <row r="15" spans="1:18" ht="15" x14ac:dyDescent="0.2">
      <c r="A15" s="567"/>
      <c r="B15" s="567"/>
      <c r="C15" s="567"/>
      <c r="D15" s="569">
        <v>0.33013888888888893</v>
      </c>
      <c r="E15" s="567">
        <v>0</v>
      </c>
      <c r="F15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8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8" width="7.625" style="568" bestFit="1" customWidth="1"/>
    <col min="9" max="9" width="5" style="568" bestFit="1" customWidth="1"/>
    <col min="10" max="10" width="8.375" style="568" bestFit="1" customWidth="1"/>
    <col min="11" max="11" width="18.75" style="568" bestFit="1" customWidth="1"/>
    <col min="12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4" width="7.625" style="568" bestFit="1" customWidth="1"/>
    <col min="265" max="265" width="5" style="568" bestFit="1" customWidth="1"/>
    <col min="266" max="266" width="8.375" style="568" bestFit="1" customWidth="1"/>
    <col min="267" max="267" width="18.75" style="568" bestFit="1" customWidth="1"/>
    <col min="268" max="269" width="8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20" width="7.625" style="568" bestFit="1" customWidth="1"/>
    <col min="521" max="521" width="5" style="568" bestFit="1" customWidth="1"/>
    <col min="522" max="522" width="8.375" style="568" bestFit="1" customWidth="1"/>
    <col min="523" max="523" width="18.75" style="568" bestFit="1" customWidth="1"/>
    <col min="524" max="525" width="8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6" width="7.625" style="568" bestFit="1" customWidth="1"/>
    <col min="777" max="777" width="5" style="568" bestFit="1" customWidth="1"/>
    <col min="778" max="778" width="8.375" style="568" bestFit="1" customWidth="1"/>
    <col min="779" max="779" width="18.75" style="568" bestFit="1" customWidth="1"/>
    <col min="780" max="781" width="8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2" width="7.625" style="568" bestFit="1" customWidth="1"/>
    <col min="1033" max="1033" width="5" style="568" bestFit="1" customWidth="1"/>
    <col min="1034" max="1034" width="8.375" style="568" bestFit="1" customWidth="1"/>
    <col min="1035" max="1035" width="18.75" style="568" bestFit="1" customWidth="1"/>
    <col min="1036" max="1037" width="8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8" width="7.625" style="568" bestFit="1" customWidth="1"/>
    <col min="1289" max="1289" width="5" style="568" bestFit="1" customWidth="1"/>
    <col min="1290" max="1290" width="8.375" style="568" bestFit="1" customWidth="1"/>
    <col min="1291" max="1291" width="18.75" style="568" bestFit="1" customWidth="1"/>
    <col min="1292" max="1293" width="8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4" width="7.625" style="568" bestFit="1" customWidth="1"/>
    <col min="1545" max="1545" width="5" style="568" bestFit="1" customWidth="1"/>
    <col min="1546" max="1546" width="8.375" style="568" bestFit="1" customWidth="1"/>
    <col min="1547" max="1547" width="18.75" style="568" bestFit="1" customWidth="1"/>
    <col min="1548" max="1549" width="8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800" width="7.625" style="568" bestFit="1" customWidth="1"/>
    <col min="1801" max="1801" width="5" style="568" bestFit="1" customWidth="1"/>
    <col min="1802" max="1802" width="8.375" style="568" bestFit="1" customWidth="1"/>
    <col min="1803" max="1803" width="18.75" style="568" bestFit="1" customWidth="1"/>
    <col min="1804" max="1805" width="8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6" width="7.625" style="568" bestFit="1" customWidth="1"/>
    <col min="2057" max="2057" width="5" style="568" bestFit="1" customWidth="1"/>
    <col min="2058" max="2058" width="8.375" style="568" bestFit="1" customWidth="1"/>
    <col min="2059" max="2059" width="18.75" style="568" bestFit="1" customWidth="1"/>
    <col min="2060" max="2061" width="8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2" width="7.625" style="568" bestFit="1" customWidth="1"/>
    <col min="2313" max="2313" width="5" style="568" bestFit="1" customWidth="1"/>
    <col min="2314" max="2314" width="8.375" style="568" bestFit="1" customWidth="1"/>
    <col min="2315" max="2315" width="18.75" style="568" bestFit="1" customWidth="1"/>
    <col min="2316" max="2317" width="8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8" width="7.625" style="568" bestFit="1" customWidth="1"/>
    <col min="2569" max="2569" width="5" style="568" bestFit="1" customWidth="1"/>
    <col min="2570" max="2570" width="8.375" style="568" bestFit="1" customWidth="1"/>
    <col min="2571" max="2571" width="18.75" style="568" bestFit="1" customWidth="1"/>
    <col min="2572" max="2573" width="8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4" width="7.625" style="568" bestFit="1" customWidth="1"/>
    <col min="2825" max="2825" width="5" style="568" bestFit="1" customWidth="1"/>
    <col min="2826" max="2826" width="8.375" style="568" bestFit="1" customWidth="1"/>
    <col min="2827" max="2827" width="18.75" style="568" bestFit="1" customWidth="1"/>
    <col min="2828" max="2829" width="8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80" width="7.625" style="568" bestFit="1" customWidth="1"/>
    <col min="3081" max="3081" width="5" style="568" bestFit="1" customWidth="1"/>
    <col min="3082" max="3082" width="8.375" style="568" bestFit="1" customWidth="1"/>
    <col min="3083" max="3083" width="18.75" style="568" bestFit="1" customWidth="1"/>
    <col min="3084" max="3085" width="8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6" width="7.625" style="568" bestFit="1" customWidth="1"/>
    <col min="3337" max="3337" width="5" style="568" bestFit="1" customWidth="1"/>
    <col min="3338" max="3338" width="8.375" style="568" bestFit="1" customWidth="1"/>
    <col min="3339" max="3339" width="18.75" style="568" bestFit="1" customWidth="1"/>
    <col min="3340" max="3341" width="8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2" width="7.625" style="568" bestFit="1" customWidth="1"/>
    <col min="3593" max="3593" width="5" style="568" bestFit="1" customWidth="1"/>
    <col min="3594" max="3594" width="8.375" style="568" bestFit="1" customWidth="1"/>
    <col min="3595" max="3595" width="18.75" style="568" bestFit="1" customWidth="1"/>
    <col min="3596" max="3597" width="8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8" width="7.625" style="568" bestFit="1" customWidth="1"/>
    <col min="3849" max="3849" width="5" style="568" bestFit="1" customWidth="1"/>
    <col min="3850" max="3850" width="8.375" style="568" bestFit="1" customWidth="1"/>
    <col min="3851" max="3851" width="18.75" style="568" bestFit="1" customWidth="1"/>
    <col min="3852" max="3853" width="8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4" width="7.625" style="568" bestFit="1" customWidth="1"/>
    <col min="4105" max="4105" width="5" style="568" bestFit="1" customWidth="1"/>
    <col min="4106" max="4106" width="8.375" style="568" bestFit="1" customWidth="1"/>
    <col min="4107" max="4107" width="18.75" style="568" bestFit="1" customWidth="1"/>
    <col min="4108" max="4109" width="8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60" width="7.625" style="568" bestFit="1" customWidth="1"/>
    <col min="4361" max="4361" width="5" style="568" bestFit="1" customWidth="1"/>
    <col min="4362" max="4362" width="8.375" style="568" bestFit="1" customWidth="1"/>
    <col min="4363" max="4363" width="18.75" style="568" bestFit="1" customWidth="1"/>
    <col min="4364" max="4365" width="8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6" width="7.625" style="568" bestFit="1" customWidth="1"/>
    <col min="4617" max="4617" width="5" style="568" bestFit="1" customWidth="1"/>
    <col min="4618" max="4618" width="8.375" style="568" bestFit="1" customWidth="1"/>
    <col min="4619" max="4619" width="18.75" style="568" bestFit="1" customWidth="1"/>
    <col min="4620" max="4621" width="8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2" width="7.625" style="568" bestFit="1" customWidth="1"/>
    <col min="4873" max="4873" width="5" style="568" bestFit="1" customWidth="1"/>
    <col min="4874" max="4874" width="8.375" style="568" bestFit="1" customWidth="1"/>
    <col min="4875" max="4875" width="18.75" style="568" bestFit="1" customWidth="1"/>
    <col min="4876" max="4877" width="8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8" width="7.625" style="568" bestFit="1" customWidth="1"/>
    <col min="5129" max="5129" width="5" style="568" bestFit="1" customWidth="1"/>
    <col min="5130" max="5130" width="8.375" style="568" bestFit="1" customWidth="1"/>
    <col min="5131" max="5131" width="18.75" style="568" bestFit="1" customWidth="1"/>
    <col min="5132" max="5133" width="8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4" width="7.625" style="568" bestFit="1" customWidth="1"/>
    <col min="5385" max="5385" width="5" style="568" bestFit="1" customWidth="1"/>
    <col min="5386" max="5386" width="8.375" style="568" bestFit="1" customWidth="1"/>
    <col min="5387" max="5387" width="18.75" style="568" bestFit="1" customWidth="1"/>
    <col min="5388" max="5389" width="8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40" width="7.625" style="568" bestFit="1" customWidth="1"/>
    <col min="5641" max="5641" width="5" style="568" bestFit="1" customWidth="1"/>
    <col min="5642" max="5642" width="8.375" style="568" bestFit="1" customWidth="1"/>
    <col min="5643" max="5643" width="18.75" style="568" bestFit="1" customWidth="1"/>
    <col min="5644" max="5645" width="8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6" width="7.625" style="568" bestFit="1" customWidth="1"/>
    <col min="5897" max="5897" width="5" style="568" bestFit="1" customWidth="1"/>
    <col min="5898" max="5898" width="8.375" style="568" bestFit="1" customWidth="1"/>
    <col min="5899" max="5899" width="18.75" style="568" bestFit="1" customWidth="1"/>
    <col min="5900" max="5901" width="8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2" width="7.625" style="568" bestFit="1" customWidth="1"/>
    <col min="6153" max="6153" width="5" style="568" bestFit="1" customWidth="1"/>
    <col min="6154" max="6154" width="8.375" style="568" bestFit="1" customWidth="1"/>
    <col min="6155" max="6155" width="18.75" style="568" bestFit="1" customWidth="1"/>
    <col min="6156" max="6157" width="8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8" width="7.625" style="568" bestFit="1" customWidth="1"/>
    <col min="6409" max="6409" width="5" style="568" bestFit="1" customWidth="1"/>
    <col min="6410" max="6410" width="8.375" style="568" bestFit="1" customWidth="1"/>
    <col min="6411" max="6411" width="18.75" style="568" bestFit="1" customWidth="1"/>
    <col min="6412" max="6413" width="8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4" width="7.625" style="568" bestFit="1" customWidth="1"/>
    <col min="6665" max="6665" width="5" style="568" bestFit="1" customWidth="1"/>
    <col min="6666" max="6666" width="8.375" style="568" bestFit="1" customWidth="1"/>
    <col min="6667" max="6667" width="18.75" style="568" bestFit="1" customWidth="1"/>
    <col min="6668" max="6669" width="8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20" width="7.625" style="568" bestFit="1" customWidth="1"/>
    <col min="6921" max="6921" width="5" style="568" bestFit="1" customWidth="1"/>
    <col min="6922" max="6922" width="8.375" style="568" bestFit="1" customWidth="1"/>
    <col min="6923" max="6923" width="18.75" style="568" bestFit="1" customWidth="1"/>
    <col min="6924" max="6925" width="8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6" width="7.625" style="568" bestFit="1" customWidth="1"/>
    <col min="7177" max="7177" width="5" style="568" bestFit="1" customWidth="1"/>
    <col min="7178" max="7178" width="8.375" style="568" bestFit="1" customWidth="1"/>
    <col min="7179" max="7179" width="18.75" style="568" bestFit="1" customWidth="1"/>
    <col min="7180" max="7181" width="8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2" width="7.625" style="568" bestFit="1" customWidth="1"/>
    <col min="7433" max="7433" width="5" style="568" bestFit="1" customWidth="1"/>
    <col min="7434" max="7434" width="8.375" style="568" bestFit="1" customWidth="1"/>
    <col min="7435" max="7435" width="18.75" style="568" bestFit="1" customWidth="1"/>
    <col min="7436" max="7437" width="8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8" width="7.625" style="568" bestFit="1" customWidth="1"/>
    <col min="7689" max="7689" width="5" style="568" bestFit="1" customWidth="1"/>
    <col min="7690" max="7690" width="8.375" style="568" bestFit="1" customWidth="1"/>
    <col min="7691" max="7691" width="18.75" style="568" bestFit="1" customWidth="1"/>
    <col min="7692" max="7693" width="8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4" width="7.625" style="568" bestFit="1" customWidth="1"/>
    <col min="7945" max="7945" width="5" style="568" bestFit="1" customWidth="1"/>
    <col min="7946" max="7946" width="8.375" style="568" bestFit="1" customWidth="1"/>
    <col min="7947" max="7947" width="18.75" style="568" bestFit="1" customWidth="1"/>
    <col min="7948" max="7949" width="8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200" width="7.625" style="568" bestFit="1" customWidth="1"/>
    <col min="8201" max="8201" width="5" style="568" bestFit="1" customWidth="1"/>
    <col min="8202" max="8202" width="8.375" style="568" bestFit="1" customWidth="1"/>
    <col min="8203" max="8203" width="18.75" style="568" bestFit="1" customWidth="1"/>
    <col min="8204" max="8205" width="8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6" width="7.625" style="568" bestFit="1" customWidth="1"/>
    <col min="8457" max="8457" width="5" style="568" bestFit="1" customWidth="1"/>
    <col min="8458" max="8458" width="8.375" style="568" bestFit="1" customWidth="1"/>
    <col min="8459" max="8459" width="18.75" style="568" bestFit="1" customWidth="1"/>
    <col min="8460" max="8461" width="8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2" width="7.625" style="568" bestFit="1" customWidth="1"/>
    <col min="8713" max="8713" width="5" style="568" bestFit="1" customWidth="1"/>
    <col min="8714" max="8714" width="8.375" style="568" bestFit="1" customWidth="1"/>
    <col min="8715" max="8715" width="18.75" style="568" bestFit="1" customWidth="1"/>
    <col min="8716" max="8717" width="8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8" width="7.625" style="568" bestFit="1" customWidth="1"/>
    <col min="8969" max="8969" width="5" style="568" bestFit="1" customWidth="1"/>
    <col min="8970" max="8970" width="8.375" style="568" bestFit="1" customWidth="1"/>
    <col min="8971" max="8971" width="18.75" style="568" bestFit="1" customWidth="1"/>
    <col min="8972" max="8973" width="8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4" width="7.625" style="568" bestFit="1" customWidth="1"/>
    <col min="9225" max="9225" width="5" style="568" bestFit="1" customWidth="1"/>
    <col min="9226" max="9226" width="8.375" style="568" bestFit="1" customWidth="1"/>
    <col min="9227" max="9227" width="18.75" style="568" bestFit="1" customWidth="1"/>
    <col min="9228" max="9229" width="8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80" width="7.625" style="568" bestFit="1" customWidth="1"/>
    <col min="9481" max="9481" width="5" style="568" bestFit="1" customWidth="1"/>
    <col min="9482" max="9482" width="8.375" style="568" bestFit="1" customWidth="1"/>
    <col min="9483" max="9483" width="18.75" style="568" bestFit="1" customWidth="1"/>
    <col min="9484" max="9485" width="8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6" width="7.625" style="568" bestFit="1" customWidth="1"/>
    <col min="9737" max="9737" width="5" style="568" bestFit="1" customWidth="1"/>
    <col min="9738" max="9738" width="8.375" style="568" bestFit="1" customWidth="1"/>
    <col min="9739" max="9739" width="18.75" style="568" bestFit="1" customWidth="1"/>
    <col min="9740" max="9741" width="8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2" width="7.625" style="568" bestFit="1" customWidth="1"/>
    <col min="9993" max="9993" width="5" style="568" bestFit="1" customWidth="1"/>
    <col min="9994" max="9994" width="8.375" style="568" bestFit="1" customWidth="1"/>
    <col min="9995" max="9995" width="18.75" style="568" bestFit="1" customWidth="1"/>
    <col min="9996" max="9997" width="8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8" width="7.625" style="568" bestFit="1" customWidth="1"/>
    <col min="10249" max="10249" width="5" style="568" bestFit="1" customWidth="1"/>
    <col min="10250" max="10250" width="8.375" style="568" bestFit="1" customWidth="1"/>
    <col min="10251" max="10251" width="18.75" style="568" bestFit="1" customWidth="1"/>
    <col min="10252" max="10253" width="8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4" width="7.625" style="568" bestFit="1" customWidth="1"/>
    <col min="10505" max="10505" width="5" style="568" bestFit="1" customWidth="1"/>
    <col min="10506" max="10506" width="8.375" style="568" bestFit="1" customWidth="1"/>
    <col min="10507" max="10507" width="18.75" style="568" bestFit="1" customWidth="1"/>
    <col min="10508" max="10509" width="8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60" width="7.625" style="568" bestFit="1" customWidth="1"/>
    <col min="10761" max="10761" width="5" style="568" bestFit="1" customWidth="1"/>
    <col min="10762" max="10762" width="8.375" style="568" bestFit="1" customWidth="1"/>
    <col min="10763" max="10763" width="18.75" style="568" bestFit="1" customWidth="1"/>
    <col min="10764" max="10765" width="8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6" width="7.625" style="568" bestFit="1" customWidth="1"/>
    <col min="11017" max="11017" width="5" style="568" bestFit="1" customWidth="1"/>
    <col min="11018" max="11018" width="8.375" style="568" bestFit="1" customWidth="1"/>
    <col min="11019" max="11019" width="18.75" style="568" bestFit="1" customWidth="1"/>
    <col min="11020" max="11021" width="8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2" width="7.625" style="568" bestFit="1" customWidth="1"/>
    <col min="11273" max="11273" width="5" style="568" bestFit="1" customWidth="1"/>
    <col min="11274" max="11274" width="8.375" style="568" bestFit="1" customWidth="1"/>
    <col min="11275" max="11275" width="18.75" style="568" bestFit="1" customWidth="1"/>
    <col min="11276" max="11277" width="8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8" width="7.625" style="568" bestFit="1" customWidth="1"/>
    <col min="11529" max="11529" width="5" style="568" bestFit="1" customWidth="1"/>
    <col min="11530" max="11530" width="8.375" style="568" bestFit="1" customWidth="1"/>
    <col min="11531" max="11531" width="18.75" style="568" bestFit="1" customWidth="1"/>
    <col min="11532" max="11533" width="8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4" width="7.625" style="568" bestFit="1" customWidth="1"/>
    <col min="11785" max="11785" width="5" style="568" bestFit="1" customWidth="1"/>
    <col min="11786" max="11786" width="8.375" style="568" bestFit="1" customWidth="1"/>
    <col min="11787" max="11787" width="18.75" style="568" bestFit="1" customWidth="1"/>
    <col min="11788" max="11789" width="8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40" width="7.625" style="568" bestFit="1" customWidth="1"/>
    <col min="12041" max="12041" width="5" style="568" bestFit="1" customWidth="1"/>
    <col min="12042" max="12042" width="8.375" style="568" bestFit="1" customWidth="1"/>
    <col min="12043" max="12043" width="18.75" style="568" bestFit="1" customWidth="1"/>
    <col min="12044" max="12045" width="8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6" width="7.625" style="568" bestFit="1" customWidth="1"/>
    <col min="12297" max="12297" width="5" style="568" bestFit="1" customWidth="1"/>
    <col min="12298" max="12298" width="8.375" style="568" bestFit="1" customWidth="1"/>
    <col min="12299" max="12299" width="18.75" style="568" bestFit="1" customWidth="1"/>
    <col min="12300" max="12301" width="8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2" width="7.625" style="568" bestFit="1" customWidth="1"/>
    <col min="12553" max="12553" width="5" style="568" bestFit="1" customWidth="1"/>
    <col min="12554" max="12554" width="8.375" style="568" bestFit="1" customWidth="1"/>
    <col min="12555" max="12555" width="18.75" style="568" bestFit="1" customWidth="1"/>
    <col min="12556" max="12557" width="8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8" width="7.625" style="568" bestFit="1" customWidth="1"/>
    <col min="12809" max="12809" width="5" style="568" bestFit="1" customWidth="1"/>
    <col min="12810" max="12810" width="8.375" style="568" bestFit="1" customWidth="1"/>
    <col min="12811" max="12811" width="18.75" style="568" bestFit="1" customWidth="1"/>
    <col min="12812" max="12813" width="8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4" width="7.625" style="568" bestFit="1" customWidth="1"/>
    <col min="13065" max="13065" width="5" style="568" bestFit="1" customWidth="1"/>
    <col min="13066" max="13066" width="8.375" style="568" bestFit="1" customWidth="1"/>
    <col min="13067" max="13067" width="18.75" style="568" bestFit="1" customWidth="1"/>
    <col min="13068" max="13069" width="8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20" width="7.625" style="568" bestFit="1" customWidth="1"/>
    <col min="13321" max="13321" width="5" style="568" bestFit="1" customWidth="1"/>
    <col min="13322" max="13322" width="8.375" style="568" bestFit="1" customWidth="1"/>
    <col min="13323" max="13323" width="18.75" style="568" bestFit="1" customWidth="1"/>
    <col min="13324" max="13325" width="8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6" width="7.625" style="568" bestFit="1" customWidth="1"/>
    <col min="13577" max="13577" width="5" style="568" bestFit="1" customWidth="1"/>
    <col min="13578" max="13578" width="8.375" style="568" bestFit="1" customWidth="1"/>
    <col min="13579" max="13579" width="18.75" style="568" bestFit="1" customWidth="1"/>
    <col min="13580" max="13581" width="8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2" width="7.625" style="568" bestFit="1" customWidth="1"/>
    <col min="13833" max="13833" width="5" style="568" bestFit="1" customWidth="1"/>
    <col min="13834" max="13834" width="8.375" style="568" bestFit="1" customWidth="1"/>
    <col min="13835" max="13835" width="18.75" style="568" bestFit="1" customWidth="1"/>
    <col min="13836" max="13837" width="8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8" width="7.625" style="568" bestFit="1" customWidth="1"/>
    <col min="14089" max="14089" width="5" style="568" bestFit="1" customWidth="1"/>
    <col min="14090" max="14090" width="8.375" style="568" bestFit="1" customWidth="1"/>
    <col min="14091" max="14091" width="18.75" style="568" bestFit="1" customWidth="1"/>
    <col min="14092" max="14093" width="8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4" width="7.625" style="568" bestFit="1" customWidth="1"/>
    <col min="14345" max="14345" width="5" style="568" bestFit="1" customWidth="1"/>
    <col min="14346" max="14346" width="8.375" style="568" bestFit="1" customWidth="1"/>
    <col min="14347" max="14347" width="18.75" style="568" bestFit="1" customWidth="1"/>
    <col min="14348" max="14349" width="8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600" width="7.625" style="568" bestFit="1" customWidth="1"/>
    <col min="14601" max="14601" width="5" style="568" bestFit="1" customWidth="1"/>
    <col min="14602" max="14602" width="8.375" style="568" bestFit="1" customWidth="1"/>
    <col min="14603" max="14603" width="18.75" style="568" bestFit="1" customWidth="1"/>
    <col min="14604" max="14605" width="8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6" width="7.625" style="568" bestFit="1" customWidth="1"/>
    <col min="14857" max="14857" width="5" style="568" bestFit="1" customWidth="1"/>
    <col min="14858" max="14858" width="8.375" style="568" bestFit="1" customWidth="1"/>
    <col min="14859" max="14859" width="18.75" style="568" bestFit="1" customWidth="1"/>
    <col min="14860" max="14861" width="8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2" width="7.625" style="568" bestFit="1" customWidth="1"/>
    <col min="15113" max="15113" width="5" style="568" bestFit="1" customWidth="1"/>
    <col min="15114" max="15114" width="8.375" style="568" bestFit="1" customWidth="1"/>
    <col min="15115" max="15115" width="18.75" style="568" bestFit="1" customWidth="1"/>
    <col min="15116" max="15117" width="8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8" width="7.625" style="568" bestFit="1" customWidth="1"/>
    <col min="15369" max="15369" width="5" style="568" bestFit="1" customWidth="1"/>
    <col min="15370" max="15370" width="8.375" style="568" bestFit="1" customWidth="1"/>
    <col min="15371" max="15371" width="18.75" style="568" bestFit="1" customWidth="1"/>
    <col min="15372" max="15373" width="8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4" width="7.625" style="568" bestFit="1" customWidth="1"/>
    <col min="15625" max="15625" width="5" style="568" bestFit="1" customWidth="1"/>
    <col min="15626" max="15626" width="8.375" style="568" bestFit="1" customWidth="1"/>
    <col min="15627" max="15627" width="18.75" style="568" bestFit="1" customWidth="1"/>
    <col min="15628" max="15629" width="8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80" width="7.625" style="568" bestFit="1" customWidth="1"/>
    <col min="15881" max="15881" width="5" style="568" bestFit="1" customWidth="1"/>
    <col min="15882" max="15882" width="8.375" style="568" bestFit="1" customWidth="1"/>
    <col min="15883" max="15883" width="18.75" style="568" bestFit="1" customWidth="1"/>
    <col min="15884" max="15885" width="8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6" width="7.625" style="568" bestFit="1" customWidth="1"/>
    <col min="16137" max="16137" width="5" style="568" bestFit="1" customWidth="1"/>
    <col min="16138" max="16138" width="8.375" style="568" bestFit="1" customWidth="1"/>
    <col min="16139" max="16139" width="18.75" style="568" bestFit="1" customWidth="1"/>
    <col min="16140" max="16141" width="8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867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401</v>
      </c>
      <c r="J9" s="567" t="s">
        <v>327</v>
      </c>
      <c r="K9" s="567" t="s">
        <v>1002</v>
      </c>
      <c r="L9" s="567" t="s">
        <v>1003</v>
      </c>
      <c r="M9" s="567" t="s">
        <v>1004</v>
      </c>
      <c r="N9" s="567" t="s">
        <v>1011</v>
      </c>
      <c r="O9" s="567" t="s">
        <v>1012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0.15209490740740741</v>
      </c>
      <c r="E10" s="567">
        <v>105128</v>
      </c>
      <c r="F10" s="567" t="s">
        <v>1001</v>
      </c>
      <c r="G10" s="567" t="s">
        <v>326</v>
      </c>
      <c r="H10" s="567">
        <v>0</v>
      </c>
      <c r="I10" s="567">
        <v>401</v>
      </c>
      <c r="J10" s="567" t="s">
        <v>327</v>
      </c>
      <c r="K10" s="567" t="s">
        <v>1002</v>
      </c>
      <c r="L10" s="567" t="s">
        <v>1003</v>
      </c>
      <c r="M10" s="567" t="s">
        <v>1004</v>
      </c>
      <c r="N10" s="567" t="s">
        <v>1011</v>
      </c>
      <c r="O10" s="567" t="s">
        <v>1012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0.16180555555555556</v>
      </c>
      <c r="E11" s="567">
        <v>6712</v>
      </c>
      <c r="F11" s="567" t="s">
        <v>335</v>
      </c>
      <c r="G11" s="567">
        <v>0</v>
      </c>
      <c r="H11" s="567" t="s">
        <v>326</v>
      </c>
      <c r="I11" s="567" t="s">
        <v>336</v>
      </c>
      <c r="J11" s="567">
        <v>0</v>
      </c>
      <c r="K11" s="567" t="s">
        <v>337</v>
      </c>
      <c r="L11" s="567">
        <v>45</v>
      </c>
      <c r="M11" s="567">
        <v>1</v>
      </c>
    </row>
    <row r="12" spans="1:18" ht="15" x14ac:dyDescent="0.2">
      <c r="A12" s="567"/>
      <c r="B12" s="567"/>
      <c r="C12" s="567"/>
      <c r="D12" s="569">
        <v>0.16527777777777777</v>
      </c>
      <c r="E12" s="567">
        <v>0</v>
      </c>
      <c r="F12" s="567" t="s">
        <v>1001</v>
      </c>
      <c r="G12" s="567" t="s">
        <v>326</v>
      </c>
      <c r="H12" s="567">
        <v>0</v>
      </c>
      <c r="I12" s="567">
        <v>97</v>
      </c>
      <c r="J12" s="567" t="s">
        <v>1010</v>
      </c>
      <c r="K12" s="567" t="s">
        <v>1002</v>
      </c>
      <c r="L12" s="567" t="s">
        <v>1003</v>
      </c>
      <c r="M12" s="567" t="s">
        <v>1004</v>
      </c>
      <c r="N12" s="567" t="s">
        <v>1005</v>
      </c>
      <c r="O12" s="567" t="s">
        <v>1006</v>
      </c>
      <c r="P12" s="567" t="s">
        <v>1007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0.19400462962962961</v>
      </c>
      <c r="E13" s="567">
        <v>19856</v>
      </c>
      <c r="F13" s="567" t="s">
        <v>1001</v>
      </c>
      <c r="G13" s="567" t="s">
        <v>326</v>
      </c>
      <c r="H13" s="567">
        <v>0</v>
      </c>
      <c r="I13" s="567">
        <v>97</v>
      </c>
      <c r="J13" s="567" t="s">
        <v>1010</v>
      </c>
      <c r="K13" s="567" t="s">
        <v>1002</v>
      </c>
      <c r="L13" s="567" t="s">
        <v>1003</v>
      </c>
      <c r="M13" s="567" t="s">
        <v>1004</v>
      </c>
      <c r="N13" s="567" t="s">
        <v>1005</v>
      </c>
      <c r="O13" s="567" t="s">
        <v>1006</v>
      </c>
      <c r="P13" s="567" t="s">
        <v>1009</v>
      </c>
      <c r="Q13" s="567" t="s">
        <v>1008</v>
      </c>
      <c r="R13" s="567">
        <v>80</v>
      </c>
    </row>
    <row r="14" spans="1:18" ht="15" x14ac:dyDescent="0.2">
      <c r="A14" s="567"/>
      <c r="B14" s="567"/>
      <c r="C14" s="567"/>
      <c r="D14" s="569">
        <v>0.19583333333333333</v>
      </c>
      <c r="E14" s="567">
        <v>1264</v>
      </c>
      <c r="F14" s="567" t="s">
        <v>1001</v>
      </c>
      <c r="G14" s="567" t="s">
        <v>326</v>
      </c>
      <c r="H14" s="567">
        <v>0</v>
      </c>
      <c r="I14" s="567">
        <v>97</v>
      </c>
      <c r="J14" s="567" t="s">
        <v>327</v>
      </c>
      <c r="K14" s="567" t="s">
        <v>1002</v>
      </c>
      <c r="L14" s="567" t="s">
        <v>1003</v>
      </c>
      <c r="M14" s="567" t="s">
        <v>1004</v>
      </c>
      <c r="N14" s="567" t="s">
        <v>1011</v>
      </c>
      <c r="O14" s="567" t="s">
        <v>1012</v>
      </c>
      <c r="P14" s="567" t="s">
        <v>1007</v>
      </c>
      <c r="Q14" s="567" t="s">
        <v>1008</v>
      </c>
      <c r="R14" s="567">
        <v>80</v>
      </c>
    </row>
    <row r="15" spans="1:18" ht="15" x14ac:dyDescent="0.2">
      <c r="A15" s="567"/>
      <c r="B15" s="567"/>
      <c r="C15" s="567"/>
      <c r="D15" s="569">
        <v>0.2852662037037037</v>
      </c>
      <c r="E15" s="567">
        <v>61816</v>
      </c>
      <c r="F15" s="567" t="s">
        <v>1001</v>
      </c>
      <c r="G15" s="567" t="s">
        <v>326</v>
      </c>
      <c r="H15" s="567">
        <v>0</v>
      </c>
      <c r="I15" s="567">
        <v>97</v>
      </c>
      <c r="J15" s="567" t="s">
        <v>327</v>
      </c>
      <c r="K15" s="567" t="s">
        <v>1002</v>
      </c>
      <c r="L15" s="567" t="s">
        <v>1003</v>
      </c>
      <c r="M15" s="567" t="s">
        <v>1004</v>
      </c>
      <c r="N15" s="567" t="s">
        <v>1011</v>
      </c>
      <c r="O15" s="567" t="s">
        <v>1012</v>
      </c>
      <c r="P15" s="567" t="s">
        <v>1009</v>
      </c>
      <c r="Q15" s="567" t="s">
        <v>1008</v>
      </c>
      <c r="R15" s="567">
        <v>80</v>
      </c>
    </row>
    <row r="16" spans="1:18" ht="15" x14ac:dyDescent="0.2">
      <c r="A16" s="567"/>
      <c r="B16" s="567"/>
      <c r="C16" s="567"/>
      <c r="D16" s="569">
        <v>0.29097222222222224</v>
      </c>
      <c r="E16" s="567">
        <v>3944</v>
      </c>
      <c r="F16" s="567" t="s">
        <v>1001</v>
      </c>
      <c r="G16" s="567" t="s">
        <v>326</v>
      </c>
      <c r="H16" s="567">
        <v>0</v>
      </c>
      <c r="I16" s="567">
        <v>39</v>
      </c>
      <c r="J16" s="567" t="s">
        <v>327</v>
      </c>
      <c r="K16" s="567" t="s">
        <v>1002</v>
      </c>
      <c r="L16" s="567" t="s">
        <v>1003</v>
      </c>
      <c r="M16" s="567" t="s">
        <v>1004</v>
      </c>
      <c r="N16" s="567" t="s">
        <v>1013</v>
      </c>
      <c r="O16" s="567" t="s">
        <v>1014</v>
      </c>
      <c r="P16" s="567" t="s">
        <v>1007</v>
      </c>
      <c r="Q16" s="567" t="s">
        <v>1008</v>
      </c>
      <c r="R16" s="567">
        <v>80</v>
      </c>
    </row>
    <row r="17" spans="1:18" ht="15" x14ac:dyDescent="0.2">
      <c r="A17" s="567"/>
      <c r="B17" s="567"/>
      <c r="C17" s="567"/>
      <c r="D17" s="569">
        <v>0.33013888888888893</v>
      </c>
      <c r="E17" s="567">
        <v>27072</v>
      </c>
      <c r="F17" s="567" t="s">
        <v>1001</v>
      </c>
      <c r="G17" s="567" t="s">
        <v>326</v>
      </c>
      <c r="H17" s="567">
        <v>0</v>
      </c>
      <c r="I17" s="567">
        <v>39</v>
      </c>
      <c r="J17" s="567" t="s">
        <v>327</v>
      </c>
      <c r="K17" s="567" t="s">
        <v>1002</v>
      </c>
      <c r="L17" s="567" t="s">
        <v>1003</v>
      </c>
      <c r="M17" s="567" t="s">
        <v>1004</v>
      </c>
      <c r="N17" s="567" t="s">
        <v>1013</v>
      </c>
      <c r="O17" s="567" t="s">
        <v>1014</v>
      </c>
      <c r="P17" s="567" t="s">
        <v>1009</v>
      </c>
      <c r="Q17" s="567" t="s">
        <v>1008</v>
      </c>
      <c r="R17" s="567">
        <v>80</v>
      </c>
    </row>
    <row r="18" spans="1:18" ht="15" x14ac:dyDescent="0.2">
      <c r="A18" s="567"/>
      <c r="B18" s="567"/>
      <c r="C18" s="567"/>
      <c r="D18" s="569">
        <v>0.33013888888888893</v>
      </c>
      <c r="E18" s="567">
        <v>0</v>
      </c>
      <c r="F18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2"/>
  <sheetViews>
    <sheetView workbookViewId="0">
      <selection activeCell="O17" sqref="O17"/>
    </sheetView>
  </sheetViews>
  <sheetFormatPr defaultColWidth="9"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8" width="7.625" style="568" bestFit="1" customWidth="1"/>
    <col min="9" max="9" width="15.75" style="568" bestFit="1" customWidth="1"/>
    <col min="10" max="10" width="9" style="568" bestFit="1" customWidth="1"/>
    <col min="11" max="11" width="18.75" style="568" bestFit="1" customWidth="1"/>
    <col min="12" max="13" width="2.25" style="568" bestFit="1" customWidth="1"/>
    <col min="14" max="16384" width="9" style="568"/>
  </cols>
  <sheetData>
    <row r="2" spans="1:13" ht="15" x14ac:dyDescent="0.2">
      <c r="A2" s="567"/>
      <c r="B2" s="567" t="s">
        <v>320</v>
      </c>
      <c r="C2" s="567">
        <v>872</v>
      </c>
    </row>
    <row r="7" spans="1:13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3" ht="15" x14ac:dyDescent="0.2">
      <c r="A9" s="567"/>
      <c r="B9" s="567"/>
      <c r="C9" s="567"/>
      <c r="D9" s="567" t="s">
        <v>1068</v>
      </c>
      <c r="E9" s="567">
        <v>0</v>
      </c>
      <c r="F9" s="567" t="s">
        <v>335</v>
      </c>
      <c r="G9" s="567">
        <v>0</v>
      </c>
      <c r="H9" s="567" t="s">
        <v>326</v>
      </c>
      <c r="I9" s="567" t="s">
        <v>336</v>
      </c>
      <c r="J9" s="567">
        <v>0</v>
      </c>
      <c r="K9" s="567" t="s">
        <v>337</v>
      </c>
      <c r="L9" s="567">
        <v>8</v>
      </c>
      <c r="M9" s="567">
        <v>1</v>
      </c>
    </row>
    <row r="10" spans="1:13" ht="15" x14ac:dyDescent="0.2">
      <c r="A10" s="567"/>
      <c r="B10" s="567"/>
      <c r="C10" s="567"/>
      <c r="D10" s="567" t="s">
        <v>1067</v>
      </c>
      <c r="E10" s="567">
        <v>8</v>
      </c>
      <c r="F10" s="567" t="s">
        <v>1022</v>
      </c>
      <c r="G10" s="567" t="s">
        <v>326</v>
      </c>
      <c r="H10" s="567">
        <v>0</v>
      </c>
      <c r="I10" s="567" t="s">
        <v>1021</v>
      </c>
    </row>
    <row r="11" spans="1:13" ht="15" x14ac:dyDescent="0.2">
      <c r="A11" s="567"/>
      <c r="B11" s="567"/>
      <c r="C11" s="567"/>
      <c r="D11" s="567" t="s">
        <v>1066</v>
      </c>
      <c r="E11" s="567">
        <v>16</v>
      </c>
      <c r="F11" s="567" t="s">
        <v>1027</v>
      </c>
      <c r="G11" s="567" t="s">
        <v>326</v>
      </c>
      <c r="H11" s="567">
        <v>0</v>
      </c>
    </row>
    <row r="12" spans="1:13" ht="15" x14ac:dyDescent="0.2">
      <c r="A12" s="567"/>
      <c r="B12" s="567"/>
      <c r="C12" s="567"/>
      <c r="D12" s="567" t="s">
        <v>1066</v>
      </c>
      <c r="E12" s="567">
        <v>0</v>
      </c>
      <c r="F12" s="567" t="s">
        <v>1026</v>
      </c>
      <c r="G12" s="567" t="s">
        <v>326</v>
      </c>
      <c r="H12" s="567">
        <v>0</v>
      </c>
      <c r="I12" s="567">
        <v>20266</v>
      </c>
      <c r="J12" s="567">
        <v>32671</v>
      </c>
    </row>
    <row r="13" spans="1:13" ht="15" x14ac:dyDescent="0.2">
      <c r="A13" s="567"/>
      <c r="B13" s="567"/>
      <c r="C13" s="567"/>
      <c r="D13" s="567" t="s">
        <v>1066</v>
      </c>
      <c r="E13" s="567">
        <v>0</v>
      </c>
      <c r="F13" s="567" t="s">
        <v>1024</v>
      </c>
      <c r="G13" s="567" t="s">
        <v>326</v>
      </c>
      <c r="H13" s="567">
        <v>0</v>
      </c>
    </row>
    <row r="14" spans="1:13" ht="15" x14ac:dyDescent="0.2">
      <c r="A14" s="567"/>
      <c r="B14" s="567"/>
      <c r="C14" s="567"/>
      <c r="D14" s="567" t="s">
        <v>1065</v>
      </c>
      <c r="E14" s="567">
        <v>1</v>
      </c>
      <c r="F14" s="567" t="s">
        <v>1022</v>
      </c>
      <c r="G14" s="567" t="s">
        <v>326</v>
      </c>
      <c r="H14" s="567">
        <v>0</v>
      </c>
      <c r="I14" s="567" t="s">
        <v>1021</v>
      </c>
    </row>
    <row r="15" spans="1:13" ht="15" x14ac:dyDescent="0.2">
      <c r="A15" s="567"/>
      <c r="B15" s="567"/>
      <c r="C15" s="567"/>
      <c r="D15" s="567" t="s">
        <v>1064</v>
      </c>
      <c r="E15" s="567">
        <v>384</v>
      </c>
      <c r="F15" s="567" t="s">
        <v>1030</v>
      </c>
      <c r="G15" s="567" t="s">
        <v>326</v>
      </c>
      <c r="H15" s="567">
        <v>0</v>
      </c>
      <c r="I15" s="567" t="s">
        <v>1029</v>
      </c>
      <c r="J15" s="567" t="s">
        <v>1037</v>
      </c>
      <c r="K15" s="567" t="s">
        <v>1036</v>
      </c>
      <c r="L15" s="567">
        <v>7</v>
      </c>
    </row>
    <row r="16" spans="1:13" ht="15" x14ac:dyDescent="0.2">
      <c r="A16" s="567"/>
      <c r="B16" s="567"/>
      <c r="C16" s="567"/>
      <c r="D16" s="567" t="s">
        <v>1063</v>
      </c>
      <c r="E16" s="567">
        <v>240</v>
      </c>
      <c r="F16" s="567" t="s">
        <v>1032</v>
      </c>
      <c r="G16" s="567" t="s">
        <v>326</v>
      </c>
      <c r="H16" s="567">
        <v>0</v>
      </c>
    </row>
    <row r="17" spans="1:12" ht="15" x14ac:dyDescent="0.2">
      <c r="A17" s="567"/>
      <c r="B17" s="567"/>
      <c r="C17" s="567"/>
      <c r="D17" s="567" t="s">
        <v>1062</v>
      </c>
      <c r="E17" s="567">
        <v>1652</v>
      </c>
      <c r="F17" s="567" t="s">
        <v>1030</v>
      </c>
      <c r="G17" s="567" t="s">
        <v>326</v>
      </c>
      <c r="H17" s="567">
        <v>0</v>
      </c>
      <c r="I17" s="567" t="s">
        <v>1029</v>
      </c>
      <c r="J17" s="567" t="s">
        <v>1037</v>
      </c>
      <c r="K17" s="567" t="s">
        <v>1036</v>
      </c>
      <c r="L17" s="567">
        <v>7</v>
      </c>
    </row>
    <row r="18" spans="1:12" ht="15" x14ac:dyDescent="0.2">
      <c r="A18" s="567"/>
      <c r="B18" s="567"/>
      <c r="C18" s="567"/>
      <c r="D18" s="567" t="s">
        <v>1061</v>
      </c>
      <c r="E18" s="567">
        <v>240</v>
      </c>
      <c r="F18" s="567" t="s">
        <v>355</v>
      </c>
      <c r="G18" s="567" t="s">
        <v>326</v>
      </c>
      <c r="H18" s="567">
        <v>0</v>
      </c>
    </row>
    <row r="19" spans="1:12" ht="15" x14ac:dyDescent="0.2">
      <c r="A19" s="567"/>
      <c r="B19" s="567"/>
      <c r="C19" s="567"/>
      <c r="D19" s="567" t="s">
        <v>1060</v>
      </c>
      <c r="E19" s="567">
        <v>1652</v>
      </c>
      <c r="F19" s="567" t="s">
        <v>1030</v>
      </c>
      <c r="G19" s="567" t="s">
        <v>326</v>
      </c>
      <c r="H19" s="567">
        <v>0</v>
      </c>
      <c r="I19" s="567" t="s">
        <v>1029</v>
      </c>
      <c r="J19" s="567" t="s">
        <v>332</v>
      </c>
      <c r="K19" s="567" t="s">
        <v>333</v>
      </c>
      <c r="L19" s="567">
        <v>7</v>
      </c>
    </row>
    <row r="20" spans="1:12" ht="15" x14ac:dyDescent="0.2">
      <c r="A20" s="567"/>
      <c r="B20" s="567"/>
      <c r="C20" s="567"/>
      <c r="D20" s="567" t="s">
        <v>1059</v>
      </c>
      <c r="E20" s="567">
        <v>240</v>
      </c>
      <c r="F20" s="567" t="s">
        <v>1032</v>
      </c>
      <c r="G20" s="567" t="s">
        <v>326</v>
      </c>
      <c r="H20" s="567">
        <v>0</v>
      </c>
    </row>
    <row r="21" spans="1:12" ht="15" x14ac:dyDescent="0.2">
      <c r="A21" s="567"/>
      <c r="B21" s="567"/>
      <c r="C21" s="567"/>
      <c r="D21" s="567" t="s">
        <v>1058</v>
      </c>
      <c r="E21" s="567">
        <v>1652</v>
      </c>
      <c r="F21" s="567" t="s">
        <v>1030</v>
      </c>
      <c r="G21" s="567" t="s">
        <v>326</v>
      </c>
      <c r="H21" s="567">
        <v>0</v>
      </c>
      <c r="I21" s="567" t="s">
        <v>1029</v>
      </c>
      <c r="J21" s="567" t="s">
        <v>332</v>
      </c>
      <c r="K21" s="567" t="s">
        <v>333</v>
      </c>
      <c r="L21" s="567">
        <v>7</v>
      </c>
    </row>
    <row r="22" spans="1:12" ht="15" x14ac:dyDescent="0.2">
      <c r="A22" s="567"/>
      <c r="B22" s="567"/>
      <c r="C22" s="567"/>
      <c r="D22" s="567" t="s">
        <v>1057</v>
      </c>
      <c r="E22" s="567">
        <v>240</v>
      </c>
      <c r="F22" s="567" t="s">
        <v>355</v>
      </c>
      <c r="G22" s="567" t="s">
        <v>326</v>
      </c>
      <c r="H22" s="567">
        <v>0</v>
      </c>
    </row>
    <row r="23" spans="1:12" ht="15" x14ac:dyDescent="0.2">
      <c r="A23" s="567"/>
      <c r="B23" s="567"/>
      <c r="C23" s="567"/>
      <c r="D23" s="567" t="s">
        <v>1056</v>
      </c>
      <c r="E23" s="567">
        <v>1652</v>
      </c>
      <c r="F23" s="567" t="s">
        <v>1030</v>
      </c>
      <c r="G23" s="567" t="s">
        <v>326</v>
      </c>
      <c r="H23" s="567">
        <v>0</v>
      </c>
      <c r="I23" s="567" t="s">
        <v>1029</v>
      </c>
      <c r="J23" s="567" t="s">
        <v>1005</v>
      </c>
      <c r="K23" s="567" t="s">
        <v>1006</v>
      </c>
      <c r="L23" s="567">
        <v>7</v>
      </c>
    </row>
    <row r="24" spans="1:12" ht="15" x14ac:dyDescent="0.2">
      <c r="A24" s="567"/>
      <c r="B24" s="567"/>
      <c r="C24" s="567"/>
      <c r="D24" s="567" t="s">
        <v>1055</v>
      </c>
      <c r="E24" s="567">
        <v>240</v>
      </c>
      <c r="F24" s="567" t="s">
        <v>1032</v>
      </c>
      <c r="G24" s="567" t="s">
        <v>326</v>
      </c>
      <c r="H24" s="567">
        <v>0</v>
      </c>
    </row>
    <row r="25" spans="1:12" ht="15" x14ac:dyDescent="0.2">
      <c r="A25" s="567"/>
      <c r="B25" s="567"/>
      <c r="C25" s="567"/>
      <c r="D25" s="567" t="s">
        <v>1054</v>
      </c>
      <c r="E25" s="567">
        <v>1652</v>
      </c>
      <c r="F25" s="567" t="s">
        <v>1030</v>
      </c>
      <c r="G25" s="567" t="s">
        <v>326</v>
      </c>
      <c r="H25" s="567">
        <v>0</v>
      </c>
      <c r="I25" s="567" t="s">
        <v>1029</v>
      </c>
      <c r="J25" s="567" t="s">
        <v>1005</v>
      </c>
      <c r="K25" s="567" t="s">
        <v>1006</v>
      </c>
      <c r="L25" s="567">
        <v>7</v>
      </c>
    </row>
    <row r="26" spans="1:12" ht="15" x14ac:dyDescent="0.2">
      <c r="A26" s="567"/>
      <c r="B26" s="567"/>
      <c r="C26" s="567"/>
      <c r="D26" s="567" t="s">
        <v>1053</v>
      </c>
      <c r="E26" s="567">
        <v>240</v>
      </c>
      <c r="F26" s="567" t="s">
        <v>355</v>
      </c>
      <c r="G26" s="567" t="s">
        <v>326</v>
      </c>
      <c r="H26" s="567">
        <v>0</v>
      </c>
    </row>
    <row r="27" spans="1:12" ht="15" x14ac:dyDescent="0.2">
      <c r="A27" s="567"/>
      <c r="B27" s="567"/>
      <c r="C27" s="567"/>
      <c r="D27" s="567" t="s">
        <v>1052</v>
      </c>
      <c r="E27" s="567">
        <v>1652</v>
      </c>
      <c r="F27" s="567" t="s">
        <v>1030</v>
      </c>
      <c r="G27" s="567" t="s">
        <v>326</v>
      </c>
      <c r="H27" s="567">
        <v>0</v>
      </c>
      <c r="I27" s="567" t="s">
        <v>1029</v>
      </c>
      <c r="J27" s="567" t="s">
        <v>1037</v>
      </c>
      <c r="K27" s="567" t="s">
        <v>1036</v>
      </c>
      <c r="L27" s="567">
        <v>7</v>
      </c>
    </row>
    <row r="28" spans="1:12" ht="15" x14ac:dyDescent="0.2">
      <c r="A28" s="567"/>
      <c r="B28" s="567"/>
      <c r="C28" s="567"/>
      <c r="D28" s="567" t="s">
        <v>1051</v>
      </c>
      <c r="E28" s="567">
        <v>240</v>
      </c>
      <c r="F28" s="567" t="s">
        <v>1032</v>
      </c>
      <c r="G28" s="567" t="s">
        <v>326</v>
      </c>
      <c r="H28" s="567">
        <v>0</v>
      </c>
    </row>
    <row r="29" spans="1:12" ht="15" x14ac:dyDescent="0.2">
      <c r="A29" s="567"/>
      <c r="B29" s="567"/>
      <c r="C29" s="567"/>
      <c r="D29" s="567" t="s">
        <v>1050</v>
      </c>
      <c r="E29" s="567">
        <v>1652</v>
      </c>
      <c r="F29" s="567" t="s">
        <v>1030</v>
      </c>
      <c r="G29" s="567" t="s">
        <v>326</v>
      </c>
      <c r="H29" s="567">
        <v>0</v>
      </c>
      <c r="I29" s="567" t="s">
        <v>1029</v>
      </c>
      <c r="J29" s="567" t="s">
        <v>1037</v>
      </c>
      <c r="K29" s="567" t="s">
        <v>1036</v>
      </c>
      <c r="L29" s="567">
        <v>7</v>
      </c>
    </row>
    <row r="30" spans="1:12" ht="15" x14ac:dyDescent="0.2">
      <c r="A30" s="567"/>
      <c r="B30" s="567"/>
      <c r="C30" s="567"/>
      <c r="D30" s="567" t="s">
        <v>1049</v>
      </c>
      <c r="E30" s="567">
        <v>240</v>
      </c>
      <c r="F30" s="567" t="s">
        <v>355</v>
      </c>
      <c r="G30" s="567" t="s">
        <v>326</v>
      </c>
      <c r="H30" s="567">
        <v>0</v>
      </c>
    </row>
    <row r="31" spans="1:12" ht="15" x14ac:dyDescent="0.2">
      <c r="A31" s="567"/>
      <c r="B31" s="567"/>
      <c r="C31" s="567"/>
      <c r="D31" s="567" t="s">
        <v>1048</v>
      </c>
      <c r="E31" s="567">
        <v>1652</v>
      </c>
      <c r="F31" s="567" t="s">
        <v>1030</v>
      </c>
      <c r="G31" s="567" t="s">
        <v>326</v>
      </c>
      <c r="H31" s="567">
        <v>0</v>
      </c>
      <c r="I31" s="567" t="s">
        <v>1029</v>
      </c>
      <c r="J31" s="567" t="s">
        <v>332</v>
      </c>
      <c r="K31" s="567" t="s">
        <v>333</v>
      </c>
      <c r="L31" s="567">
        <v>7</v>
      </c>
    </row>
    <row r="32" spans="1:12" ht="15" x14ac:dyDescent="0.2">
      <c r="A32" s="567"/>
      <c r="B32" s="567"/>
      <c r="C32" s="567"/>
      <c r="D32" s="567" t="s">
        <v>1047</v>
      </c>
      <c r="E32" s="567">
        <v>240</v>
      </c>
      <c r="F32" s="567" t="s">
        <v>1032</v>
      </c>
      <c r="G32" s="567" t="s">
        <v>326</v>
      </c>
      <c r="H32" s="567">
        <v>0</v>
      </c>
    </row>
    <row r="33" spans="1:12" ht="15" x14ac:dyDescent="0.2">
      <c r="A33" s="567"/>
      <c r="B33" s="567"/>
      <c r="C33" s="567"/>
      <c r="D33" s="567" t="s">
        <v>1046</v>
      </c>
      <c r="E33" s="567">
        <v>1652</v>
      </c>
      <c r="F33" s="567" t="s">
        <v>1030</v>
      </c>
      <c r="G33" s="567" t="s">
        <v>326</v>
      </c>
      <c r="H33" s="567">
        <v>0</v>
      </c>
      <c r="I33" s="567" t="s">
        <v>1029</v>
      </c>
      <c r="J33" s="567" t="s">
        <v>332</v>
      </c>
      <c r="K33" s="567" t="s">
        <v>333</v>
      </c>
      <c r="L33" s="567">
        <v>7</v>
      </c>
    </row>
    <row r="34" spans="1:12" ht="15" x14ac:dyDescent="0.2">
      <c r="A34" s="567"/>
      <c r="B34" s="567"/>
      <c r="C34" s="567"/>
      <c r="D34" s="567" t="s">
        <v>1045</v>
      </c>
      <c r="E34" s="567">
        <v>240</v>
      </c>
      <c r="F34" s="567" t="s">
        <v>355</v>
      </c>
      <c r="G34" s="567" t="s">
        <v>326</v>
      </c>
      <c r="H34" s="567">
        <v>0</v>
      </c>
    </row>
    <row r="35" spans="1:12" ht="15" x14ac:dyDescent="0.2">
      <c r="A35" s="567"/>
      <c r="B35" s="567"/>
      <c r="C35" s="567"/>
      <c r="D35" s="567" t="s">
        <v>1044</v>
      </c>
      <c r="E35" s="567">
        <v>1652</v>
      </c>
      <c r="F35" s="567" t="s">
        <v>1030</v>
      </c>
      <c r="G35" s="567" t="s">
        <v>326</v>
      </c>
      <c r="H35" s="567">
        <v>0</v>
      </c>
      <c r="I35" s="567" t="s">
        <v>1029</v>
      </c>
      <c r="J35" s="567" t="s">
        <v>1005</v>
      </c>
      <c r="K35" s="567" t="s">
        <v>1006</v>
      </c>
      <c r="L35" s="567">
        <v>7</v>
      </c>
    </row>
    <row r="36" spans="1:12" ht="15" x14ac:dyDescent="0.2">
      <c r="A36" s="567"/>
      <c r="B36" s="567"/>
      <c r="C36" s="567"/>
      <c r="D36" s="567" t="s">
        <v>1043</v>
      </c>
      <c r="E36" s="567">
        <v>240</v>
      </c>
      <c r="F36" s="567" t="s">
        <v>1032</v>
      </c>
      <c r="G36" s="567" t="s">
        <v>326</v>
      </c>
      <c r="H36" s="567">
        <v>0</v>
      </c>
    </row>
    <row r="37" spans="1:12" ht="15" x14ac:dyDescent="0.2">
      <c r="A37" s="567"/>
      <c r="B37" s="567"/>
      <c r="C37" s="567"/>
      <c r="D37" s="567" t="s">
        <v>1042</v>
      </c>
      <c r="E37" s="567">
        <v>1652</v>
      </c>
      <c r="F37" s="567" t="s">
        <v>1030</v>
      </c>
      <c r="G37" s="567" t="s">
        <v>326</v>
      </c>
      <c r="H37" s="567">
        <v>0</v>
      </c>
      <c r="I37" s="567" t="s">
        <v>1029</v>
      </c>
      <c r="J37" s="567" t="s">
        <v>1005</v>
      </c>
      <c r="K37" s="567" t="s">
        <v>1006</v>
      </c>
      <c r="L37" s="567">
        <v>7</v>
      </c>
    </row>
    <row r="38" spans="1:12" ht="15" x14ac:dyDescent="0.2">
      <c r="A38" s="567"/>
      <c r="B38" s="567"/>
      <c r="C38" s="567"/>
      <c r="D38" s="567" t="s">
        <v>1041</v>
      </c>
      <c r="E38" s="567">
        <v>240</v>
      </c>
      <c r="F38" s="567" t="s">
        <v>355</v>
      </c>
      <c r="G38" s="567" t="s">
        <v>326</v>
      </c>
      <c r="H38" s="567">
        <v>0</v>
      </c>
    </row>
    <row r="39" spans="1:12" ht="15" x14ac:dyDescent="0.2">
      <c r="A39" s="567"/>
      <c r="B39" s="567"/>
      <c r="C39" s="567"/>
      <c r="D39" s="567" t="s">
        <v>1040</v>
      </c>
      <c r="E39" s="567">
        <v>1652</v>
      </c>
      <c r="F39" s="567" t="s">
        <v>1030</v>
      </c>
      <c r="G39" s="567" t="s">
        <v>326</v>
      </c>
      <c r="H39" s="567">
        <v>0</v>
      </c>
      <c r="I39" s="567" t="s">
        <v>1029</v>
      </c>
      <c r="J39" s="567" t="s">
        <v>1037</v>
      </c>
      <c r="K39" s="567" t="s">
        <v>1036</v>
      </c>
      <c r="L39" s="567">
        <v>7</v>
      </c>
    </row>
    <row r="40" spans="1:12" ht="15" x14ac:dyDescent="0.2">
      <c r="A40" s="567"/>
      <c r="B40" s="567"/>
      <c r="C40" s="567"/>
      <c r="D40" s="567" t="s">
        <v>1039</v>
      </c>
      <c r="E40" s="567">
        <v>240</v>
      </c>
      <c r="F40" s="567" t="s">
        <v>1032</v>
      </c>
      <c r="G40" s="567" t="s">
        <v>326</v>
      </c>
      <c r="H40" s="567">
        <v>0</v>
      </c>
    </row>
    <row r="41" spans="1:12" ht="15" x14ac:dyDescent="0.2">
      <c r="A41" s="567"/>
      <c r="B41" s="567"/>
      <c r="C41" s="567"/>
      <c r="D41" s="567" t="s">
        <v>1038</v>
      </c>
      <c r="E41" s="567">
        <v>1652</v>
      </c>
      <c r="F41" s="567" t="s">
        <v>1030</v>
      </c>
      <c r="G41" s="567" t="s">
        <v>326</v>
      </c>
      <c r="H41" s="567">
        <v>0</v>
      </c>
      <c r="I41" s="567" t="s">
        <v>1029</v>
      </c>
      <c r="J41" s="567" t="s">
        <v>1037</v>
      </c>
      <c r="K41" s="567" t="s">
        <v>1036</v>
      </c>
      <c r="L41" s="567">
        <v>7</v>
      </c>
    </row>
    <row r="42" spans="1:12" ht="15" x14ac:dyDescent="0.2">
      <c r="A42" s="567"/>
      <c r="B42" s="567"/>
      <c r="C42" s="567"/>
      <c r="D42" s="567" t="s">
        <v>1035</v>
      </c>
      <c r="E42" s="567">
        <v>240</v>
      </c>
      <c r="F42" s="567" t="s">
        <v>355</v>
      </c>
      <c r="G42" s="567" t="s">
        <v>326</v>
      </c>
      <c r="H42" s="567">
        <v>0</v>
      </c>
    </row>
    <row r="43" spans="1:12" ht="15" x14ac:dyDescent="0.2">
      <c r="A43" s="567"/>
      <c r="B43" s="567"/>
      <c r="C43" s="567"/>
      <c r="D43" s="567" t="s">
        <v>1034</v>
      </c>
      <c r="E43" s="567">
        <v>1652</v>
      </c>
      <c r="F43" s="567" t="s">
        <v>1030</v>
      </c>
      <c r="G43" s="567" t="s">
        <v>326</v>
      </c>
      <c r="H43" s="567">
        <v>0</v>
      </c>
      <c r="I43" s="567" t="s">
        <v>1029</v>
      </c>
      <c r="J43" s="567" t="s">
        <v>332</v>
      </c>
      <c r="K43" s="567" t="s">
        <v>333</v>
      </c>
      <c r="L43" s="567">
        <v>7</v>
      </c>
    </row>
    <row r="44" spans="1:12" ht="15" x14ac:dyDescent="0.2">
      <c r="A44" s="567"/>
      <c r="B44" s="567"/>
      <c r="C44" s="567"/>
      <c r="D44" s="567" t="s">
        <v>1033</v>
      </c>
      <c r="E44" s="567">
        <v>240</v>
      </c>
      <c r="F44" s="567" t="s">
        <v>1032</v>
      </c>
      <c r="G44" s="567" t="s">
        <v>326</v>
      </c>
      <c r="H44" s="567">
        <v>0</v>
      </c>
    </row>
    <row r="45" spans="1:12" ht="15" x14ac:dyDescent="0.2">
      <c r="A45" s="567"/>
      <c r="B45" s="567"/>
      <c r="C45" s="567"/>
      <c r="D45" s="567" t="s">
        <v>1031</v>
      </c>
      <c r="E45" s="567">
        <v>1652</v>
      </c>
      <c r="F45" s="567" t="s">
        <v>1030</v>
      </c>
      <c r="G45" s="567" t="s">
        <v>326</v>
      </c>
      <c r="H45" s="567">
        <v>0</v>
      </c>
      <c r="I45" s="567" t="s">
        <v>1029</v>
      </c>
      <c r="J45" s="567" t="s">
        <v>332</v>
      </c>
      <c r="K45" s="567" t="s">
        <v>333</v>
      </c>
      <c r="L45" s="567">
        <v>7</v>
      </c>
    </row>
    <row r="46" spans="1:12" ht="15" x14ac:dyDescent="0.2">
      <c r="A46" s="567"/>
      <c r="B46" s="567"/>
      <c r="C46" s="567"/>
      <c r="D46" s="567" t="s">
        <v>1028</v>
      </c>
      <c r="E46" s="567">
        <v>240</v>
      </c>
      <c r="F46" s="567" t="s">
        <v>355</v>
      </c>
      <c r="G46" s="567" t="s">
        <v>326</v>
      </c>
      <c r="H46" s="567">
        <v>0</v>
      </c>
    </row>
    <row r="47" spans="1:12" ht="15" x14ac:dyDescent="0.2">
      <c r="A47" s="567"/>
      <c r="B47" s="567"/>
      <c r="C47" s="567"/>
      <c r="D47" s="567" t="s">
        <v>1025</v>
      </c>
      <c r="E47" s="567">
        <v>1652</v>
      </c>
      <c r="F47" s="567" t="s">
        <v>1027</v>
      </c>
      <c r="G47" s="567" t="s">
        <v>326</v>
      </c>
      <c r="H47" s="567">
        <v>0</v>
      </c>
    </row>
    <row r="48" spans="1:12" ht="15" x14ac:dyDescent="0.2">
      <c r="A48" s="567"/>
      <c r="B48" s="567"/>
      <c r="C48" s="567"/>
      <c r="D48" s="567" t="s">
        <v>1025</v>
      </c>
      <c r="E48" s="567">
        <v>0</v>
      </c>
      <c r="F48" s="567" t="s">
        <v>1026</v>
      </c>
      <c r="G48" s="567" t="s">
        <v>326</v>
      </c>
      <c r="H48" s="567">
        <v>0</v>
      </c>
      <c r="I48" s="567">
        <v>20266</v>
      </c>
      <c r="J48" s="567">
        <v>32031</v>
      </c>
    </row>
    <row r="49" spans="1:13" ht="15" x14ac:dyDescent="0.2">
      <c r="A49" s="567"/>
      <c r="B49" s="567"/>
      <c r="C49" s="567"/>
      <c r="D49" s="567" t="s">
        <v>1025</v>
      </c>
      <c r="E49" s="567">
        <v>0</v>
      </c>
      <c r="F49" s="567" t="s">
        <v>1024</v>
      </c>
      <c r="G49" s="567" t="s">
        <v>326</v>
      </c>
      <c r="H49" s="567">
        <v>0</v>
      </c>
    </row>
    <row r="50" spans="1:13" ht="15" x14ac:dyDescent="0.2">
      <c r="A50" s="567"/>
      <c r="B50" s="567"/>
      <c r="C50" s="567"/>
      <c r="D50" s="567" t="s">
        <v>1023</v>
      </c>
      <c r="E50" s="567">
        <v>1</v>
      </c>
      <c r="F50" s="567" t="s">
        <v>1022</v>
      </c>
      <c r="G50" s="567" t="s">
        <v>326</v>
      </c>
      <c r="H50" s="567">
        <v>0</v>
      </c>
      <c r="I50" s="567" t="s">
        <v>1021</v>
      </c>
    </row>
    <row r="51" spans="1:13" ht="15" x14ac:dyDescent="0.2">
      <c r="A51" s="567"/>
      <c r="B51" s="567"/>
      <c r="C51" s="567"/>
      <c r="D51" s="567" t="s">
        <v>1020</v>
      </c>
      <c r="E51" s="567">
        <v>16</v>
      </c>
      <c r="F51" s="567" t="s">
        <v>335</v>
      </c>
      <c r="G51" s="567">
        <v>0</v>
      </c>
      <c r="H51" s="567" t="s">
        <v>326</v>
      </c>
      <c r="I51" s="567" t="s">
        <v>336</v>
      </c>
      <c r="J51" s="567">
        <v>0</v>
      </c>
      <c r="K51" s="567" t="s">
        <v>337</v>
      </c>
      <c r="L51" s="567">
        <v>7</v>
      </c>
      <c r="M51" s="567">
        <v>1</v>
      </c>
    </row>
    <row r="52" spans="1:13" ht="15" x14ac:dyDescent="0.2">
      <c r="A52" s="567"/>
      <c r="B52" s="567"/>
      <c r="C52" s="567"/>
      <c r="D52" s="567" t="s">
        <v>1019</v>
      </c>
      <c r="E52" s="567">
        <v>0</v>
      </c>
      <c r="F52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6"/>
  <sheetViews>
    <sheetView workbookViewId="0">
      <selection sqref="A1:XFD1048576"/>
    </sheetView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8" width="7.625" style="568" bestFit="1" customWidth="1"/>
    <col min="9" max="9" width="5" style="568" bestFit="1" customWidth="1"/>
    <col min="10" max="10" width="8.375" style="568" bestFit="1" customWidth="1"/>
    <col min="11" max="11" width="18.75" style="568" bestFit="1" customWidth="1"/>
    <col min="12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4" width="7.625" style="568" bestFit="1" customWidth="1"/>
    <col min="265" max="265" width="5" style="568" bestFit="1" customWidth="1"/>
    <col min="266" max="266" width="8.375" style="568" bestFit="1" customWidth="1"/>
    <col min="267" max="267" width="18.75" style="568" bestFit="1" customWidth="1"/>
    <col min="268" max="269" width="8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20" width="7.625" style="568" bestFit="1" customWidth="1"/>
    <col min="521" max="521" width="5" style="568" bestFit="1" customWidth="1"/>
    <col min="522" max="522" width="8.375" style="568" bestFit="1" customWidth="1"/>
    <col min="523" max="523" width="18.75" style="568" bestFit="1" customWidth="1"/>
    <col min="524" max="525" width="8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6" width="7.625" style="568" bestFit="1" customWidth="1"/>
    <col min="777" max="777" width="5" style="568" bestFit="1" customWidth="1"/>
    <col min="778" max="778" width="8.375" style="568" bestFit="1" customWidth="1"/>
    <col min="779" max="779" width="18.75" style="568" bestFit="1" customWidth="1"/>
    <col min="780" max="781" width="8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2" width="7.625" style="568" bestFit="1" customWidth="1"/>
    <col min="1033" max="1033" width="5" style="568" bestFit="1" customWidth="1"/>
    <col min="1034" max="1034" width="8.375" style="568" bestFit="1" customWidth="1"/>
    <col min="1035" max="1035" width="18.75" style="568" bestFit="1" customWidth="1"/>
    <col min="1036" max="1037" width="8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8" width="7.625" style="568" bestFit="1" customWidth="1"/>
    <col min="1289" max="1289" width="5" style="568" bestFit="1" customWidth="1"/>
    <col min="1290" max="1290" width="8.375" style="568" bestFit="1" customWidth="1"/>
    <col min="1291" max="1291" width="18.75" style="568" bestFit="1" customWidth="1"/>
    <col min="1292" max="1293" width="8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4" width="7.625" style="568" bestFit="1" customWidth="1"/>
    <col min="1545" max="1545" width="5" style="568" bestFit="1" customWidth="1"/>
    <col min="1546" max="1546" width="8.375" style="568" bestFit="1" customWidth="1"/>
    <col min="1547" max="1547" width="18.75" style="568" bestFit="1" customWidth="1"/>
    <col min="1548" max="1549" width="8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800" width="7.625" style="568" bestFit="1" customWidth="1"/>
    <col min="1801" max="1801" width="5" style="568" bestFit="1" customWidth="1"/>
    <col min="1802" max="1802" width="8.375" style="568" bestFit="1" customWidth="1"/>
    <col min="1803" max="1803" width="18.75" style="568" bestFit="1" customWidth="1"/>
    <col min="1804" max="1805" width="8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6" width="7.625" style="568" bestFit="1" customWidth="1"/>
    <col min="2057" max="2057" width="5" style="568" bestFit="1" customWidth="1"/>
    <col min="2058" max="2058" width="8.375" style="568" bestFit="1" customWidth="1"/>
    <col min="2059" max="2059" width="18.75" style="568" bestFit="1" customWidth="1"/>
    <col min="2060" max="2061" width="8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2" width="7.625" style="568" bestFit="1" customWidth="1"/>
    <col min="2313" max="2313" width="5" style="568" bestFit="1" customWidth="1"/>
    <col min="2314" max="2314" width="8.375" style="568" bestFit="1" customWidth="1"/>
    <col min="2315" max="2315" width="18.75" style="568" bestFit="1" customWidth="1"/>
    <col min="2316" max="2317" width="8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8" width="7.625" style="568" bestFit="1" customWidth="1"/>
    <col min="2569" max="2569" width="5" style="568" bestFit="1" customWidth="1"/>
    <col min="2570" max="2570" width="8.375" style="568" bestFit="1" customWidth="1"/>
    <col min="2571" max="2571" width="18.75" style="568" bestFit="1" customWidth="1"/>
    <col min="2572" max="2573" width="8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4" width="7.625" style="568" bestFit="1" customWidth="1"/>
    <col min="2825" max="2825" width="5" style="568" bestFit="1" customWidth="1"/>
    <col min="2826" max="2826" width="8.375" style="568" bestFit="1" customWidth="1"/>
    <col min="2827" max="2827" width="18.75" style="568" bestFit="1" customWidth="1"/>
    <col min="2828" max="2829" width="8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80" width="7.625" style="568" bestFit="1" customWidth="1"/>
    <col min="3081" max="3081" width="5" style="568" bestFit="1" customWidth="1"/>
    <col min="3082" max="3082" width="8.375" style="568" bestFit="1" customWidth="1"/>
    <col min="3083" max="3083" width="18.75" style="568" bestFit="1" customWidth="1"/>
    <col min="3084" max="3085" width="8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6" width="7.625" style="568" bestFit="1" customWidth="1"/>
    <col min="3337" max="3337" width="5" style="568" bestFit="1" customWidth="1"/>
    <col min="3338" max="3338" width="8.375" style="568" bestFit="1" customWidth="1"/>
    <col min="3339" max="3339" width="18.75" style="568" bestFit="1" customWidth="1"/>
    <col min="3340" max="3341" width="8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2" width="7.625" style="568" bestFit="1" customWidth="1"/>
    <col min="3593" max="3593" width="5" style="568" bestFit="1" customWidth="1"/>
    <col min="3594" max="3594" width="8.375" style="568" bestFit="1" customWidth="1"/>
    <col min="3595" max="3595" width="18.75" style="568" bestFit="1" customWidth="1"/>
    <col min="3596" max="3597" width="8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8" width="7.625" style="568" bestFit="1" customWidth="1"/>
    <col min="3849" max="3849" width="5" style="568" bestFit="1" customWidth="1"/>
    <col min="3850" max="3850" width="8.375" style="568" bestFit="1" customWidth="1"/>
    <col min="3851" max="3851" width="18.75" style="568" bestFit="1" customWidth="1"/>
    <col min="3852" max="3853" width="8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4" width="7.625" style="568" bestFit="1" customWidth="1"/>
    <col min="4105" max="4105" width="5" style="568" bestFit="1" customWidth="1"/>
    <col min="4106" max="4106" width="8.375" style="568" bestFit="1" customWidth="1"/>
    <col min="4107" max="4107" width="18.75" style="568" bestFit="1" customWidth="1"/>
    <col min="4108" max="4109" width="8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60" width="7.625" style="568" bestFit="1" customWidth="1"/>
    <col min="4361" max="4361" width="5" style="568" bestFit="1" customWidth="1"/>
    <col min="4362" max="4362" width="8.375" style="568" bestFit="1" customWidth="1"/>
    <col min="4363" max="4363" width="18.75" style="568" bestFit="1" customWidth="1"/>
    <col min="4364" max="4365" width="8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6" width="7.625" style="568" bestFit="1" customWidth="1"/>
    <col min="4617" max="4617" width="5" style="568" bestFit="1" customWidth="1"/>
    <col min="4618" max="4618" width="8.375" style="568" bestFit="1" customWidth="1"/>
    <col min="4619" max="4619" width="18.75" style="568" bestFit="1" customWidth="1"/>
    <col min="4620" max="4621" width="8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2" width="7.625" style="568" bestFit="1" customWidth="1"/>
    <col min="4873" max="4873" width="5" style="568" bestFit="1" customWidth="1"/>
    <col min="4874" max="4874" width="8.375" style="568" bestFit="1" customWidth="1"/>
    <col min="4875" max="4875" width="18.75" style="568" bestFit="1" customWidth="1"/>
    <col min="4876" max="4877" width="8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8" width="7.625" style="568" bestFit="1" customWidth="1"/>
    <col min="5129" max="5129" width="5" style="568" bestFit="1" customWidth="1"/>
    <col min="5130" max="5130" width="8.375" style="568" bestFit="1" customWidth="1"/>
    <col min="5131" max="5131" width="18.75" style="568" bestFit="1" customWidth="1"/>
    <col min="5132" max="5133" width="8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4" width="7.625" style="568" bestFit="1" customWidth="1"/>
    <col min="5385" max="5385" width="5" style="568" bestFit="1" customWidth="1"/>
    <col min="5386" max="5386" width="8.375" style="568" bestFit="1" customWidth="1"/>
    <col min="5387" max="5387" width="18.75" style="568" bestFit="1" customWidth="1"/>
    <col min="5388" max="5389" width="8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40" width="7.625" style="568" bestFit="1" customWidth="1"/>
    <col min="5641" max="5641" width="5" style="568" bestFit="1" customWidth="1"/>
    <col min="5642" max="5642" width="8.375" style="568" bestFit="1" customWidth="1"/>
    <col min="5643" max="5643" width="18.75" style="568" bestFit="1" customWidth="1"/>
    <col min="5644" max="5645" width="8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6" width="7.625" style="568" bestFit="1" customWidth="1"/>
    <col min="5897" max="5897" width="5" style="568" bestFit="1" customWidth="1"/>
    <col min="5898" max="5898" width="8.375" style="568" bestFit="1" customWidth="1"/>
    <col min="5899" max="5899" width="18.75" style="568" bestFit="1" customWidth="1"/>
    <col min="5900" max="5901" width="8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2" width="7.625" style="568" bestFit="1" customWidth="1"/>
    <col min="6153" max="6153" width="5" style="568" bestFit="1" customWidth="1"/>
    <col min="6154" max="6154" width="8.375" style="568" bestFit="1" customWidth="1"/>
    <col min="6155" max="6155" width="18.75" style="568" bestFit="1" customWidth="1"/>
    <col min="6156" max="6157" width="8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8" width="7.625" style="568" bestFit="1" customWidth="1"/>
    <col min="6409" max="6409" width="5" style="568" bestFit="1" customWidth="1"/>
    <col min="6410" max="6410" width="8.375" style="568" bestFit="1" customWidth="1"/>
    <col min="6411" max="6411" width="18.75" style="568" bestFit="1" customWidth="1"/>
    <col min="6412" max="6413" width="8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4" width="7.625" style="568" bestFit="1" customWidth="1"/>
    <col min="6665" max="6665" width="5" style="568" bestFit="1" customWidth="1"/>
    <col min="6666" max="6666" width="8.375" style="568" bestFit="1" customWidth="1"/>
    <col min="6667" max="6667" width="18.75" style="568" bestFit="1" customWidth="1"/>
    <col min="6668" max="6669" width="8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20" width="7.625" style="568" bestFit="1" customWidth="1"/>
    <col min="6921" max="6921" width="5" style="568" bestFit="1" customWidth="1"/>
    <col min="6922" max="6922" width="8.375" style="568" bestFit="1" customWidth="1"/>
    <col min="6923" max="6923" width="18.75" style="568" bestFit="1" customWidth="1"/>
    <col min="6924" max="6925" width="8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6" width="7.625" style="568" bestFit="1" customWidth="1"/>
    <col min="7177" max="7177" width="5" style="568" bestFit="1" customWidth="1"/>
    <col min="7178" max="7178" width="8.375" style="568" bestFit="1" customWidth="1"/>
    <col min="7179" max="7179" width="18.75" style="568" bestFit="1" customWidth="1"/>
    <col min="7180" max="7181" width="8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2" width="7.625" style="568" bestFit="1" customWidth="1"/>
    <col min="7433" max="7433" width="5" style="568" bestFit="1" customWidth="1"/>
    <col min="7434" max="7434" width="8.375" style="568" bestFit="1" customWidth="1"/>
    <col min="7435" max="7435" width="18.75" style="568" bestFit="1" customWidth="1"/>
    <col min="7436" max="7437" width="8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8" width="7.625" style="568" bestFit="1" customWidth="1"/>
    <col min="7689" max="7689" width="5" style="568" bestFit="1" customWidth="1"/>
    <col min="7690" max="7690" width="8.375" style="568" bestFit="1" customWidth="1"/>
    <col min="7691" max="7691" width="18.75" style="568" bestFit="1" customWidth="1"/>
    <col min="7692" max="7693" width="8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4" width="7.625" style="568" bestFit="1" customWidth="1"/>
    <col min="7945" max="7945" width="5" style="568" bestFit="1" customWidth="1"/>
    <col min="7946" max="7946" width="8.375" style="568" bestFit="1" customWidth="1"/>
    <col min="7947" max="7947" width="18.75" style="568" bestFit="1" customWidth="1"/>
    <col min="7948" max="7949" width="8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200" width="7.625" style="568" bestFit="1" customWidth="1"/>
    <col min="8201" max="8201" width="5" style="568" bestFit="1" customWidth="1"/>
    <col min="8202" max="8202" width="8.375" style="568" bestFit="1" customWidth="1"/>
    <col min="8203" max="8203" width="18.75" style="568" bestFit="1" customWidth="1"/>
    <col min="8204" max="8205" width="8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6" width="7.625" style="568" bestFit="1" customWidth="1"/>
    <col min="8457" max="8457" width="5" style="568" bestFit="1" customWidth="1"/>
    <col min="8458" max="8458" width="8.375" style="568" bestFit="1" customWidth="1"/>
    <col min="8459" max="8459" width="18.75" style="568" bestFit="1" customWidth="1"/>
    <col min="8460" max="8461" width="8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2" width="7.625" style="568" bestFit="1" customWidth="1"/>
    <col min="8713" max="8713" width="5" style="568" bestFit="1" customWidth="1"/>
    <col min="8714" max="8714" width="8.375" style="568" bestFit="1" customWidth="1"/>
    <col min="8715" max="8715" width="18.75" style="568" bestFit="1" customWidth="1"/>
    <col min="8716" max="8717" width="8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8" width="7.625" style="568" bestFit="1" customWidth="1"/>
    <col min="8969" max="8969" width="5" style="568" bestFit="1" customWidth="1"/>
    <col min="8970" max="8970" width="8.375" style="568" bestFit="1" customWidth="1"/>
    <col min="8971" max="8971" width="18.75" style="568" bestFit="1" customWidth="1"/>
    <col min="8972" max="8973" width="8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4" width="7.625" style="568" bestFit="1" customWidth="1"/>
    <col min="9225" max="9225" width="5" style="568" bestFit="1" customWidth="1"/>
    <col min="9226" max="9226" width="8.375" style="568" bestFit="1" customWidth="1"/>
    <col min="9227" max="9227" width="18.75" style="568" bestFit="1" customWidth="1"/>
    <col min="9228" max="9229" width="8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80" width="7.625" style="568" bestFit="1" customWidth="1"/>
    <col min="9481" max="9481" width="5" style="568" bestFit="1" customWidth="1"/>
    <col min="9482" max="9482" width="8.375" style="568" bestFit="1" customWidth="1"/>
    <col min="9483" max="9483" width="18.75" style="568" bestFit="1" customWidth="1"/>
    <col min="9484" max="9485" width="8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6" width="7.625" style="568" bestFit="1" customWidth="1"/>
    <col min="9737" max="9737" width="5" style="568" bestFit="1" customWidth="1"/>
    <col min="9738" max="9738" width="8.375" style="568" bestFit="1" customWidth="1"/>
    <col min="9739" max="9739" width="18.75" style="568" bestFit="1" customWidth="1"/>
    <col min="9740" max="9741" width="8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2" width="7.625" style="568" bestFit="1" customWidth="1"/>
    <col min="9993" max="9993" width="5" style="568" bestFit="1" customWidth="1"/>
    <col min="9994" max="9994" width="8.375" style="568" bestFit="1" customWidth="1"/>
    <col min="9995" max="9995" width="18.75" style="568" bestFit="1" customWidth="1"/>
    <col min="9996" max="9997" width="8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8" width="7.625" style="568" bestFit="1" customWidth="1"/>
    <col min="10249" max="10249" width="5" style="568" bestFit="1" customWidth="1"/>
    <col min="10250" max="10250" width="8.375" style="568" bestFit="1" customWidth="1"/>
    <col min="10251" max="10251" width="18.75" style="568" bestFit="1" customWidth="1"/>
    <col min="10252" max="10253" width="8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4" width="7.625" style="568" bestFit="1" customWidth="1"/>
    <col min="10505" max="10505" width="5" style="568" bestFit="1" customWidth="1"/>
    <col min="10506" max="10506" width="8.375" style="568" bestFit="1" customWidth="1"/>
    <col min="10507" max="10507" width="18.75" style="568" bestFit="1" customWidth="1"/>
    <col min="10508" max="10509" width="8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60" width="7.625" style="568" bestFit="1" customWidth="1"/>
    <col min="10761" max="10761" width="5" style="568" bestFit="1" customWidth="1"/>
    <col min="10762" max="10762" width="8.375" style="568" bestFit="1" customWidth="1"/>
    <col min="10763" max="10763" width="18.75" style="568" bestFit="1" customWidth="1"/>
    <col min="10764" max="10765" width="8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6" width="7.625" style="568" bestFit="1" customWidth="1"/>
    <col min="11017" max="11017" width="5" style="568" bestFit="1" customWidth="1"/>
    <col min="11018" max="11018" width="8.375" style="568" bestFit="1" customWidth="1"/>
    <col min="11019" max="11019" width="18.75" style="568" bestFit="1" customWidth="1"/>
    <col min="11020" max="11021" width="8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2" width="7.625" style="568" bestFit="1" customWidth="1"/>
    <col min="11273" max="11273" width="5" style="568" bestFit="1" customWidth="1"/>
    <col min="11274" max="11274" width="8.375" style="568" bestFit="1" customWidth="1"/>
    <col min="11275" max="11275" width="18.75" style="568" bestFit="1" customWidth="1"/>
    <col min="11276" max="11277" width="8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8" width="7.625" style="568" bestFit="1" customWidth="1"/>
    <col min="11529" max="11529" width="5" style="568" bestFit="1" customWidth="1"/>
    <col min="11530" max="11530" width="8.375" style="568" bestFit="1" customWidth="1"/>
    <col min="11531" max="11531" width="18.75" style="568" bestFit="1" customWidth="1"/>
    <col min="11532" max="11533" width="8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4" width="7.625" style="568" bestFit="1" customWidth="1"/>
    <col min="11785" max="11785" width="5" style="568" bestFit="1" customWidth="1"/>
    <col min="11786" max="11786" width="8.375" style="568" bestFit="1" customWidth="1"/>
    <col min="11787" max="11787" width="18.75" style="568" bestFit="1" customWidth="1"/>
    <col min="11788" max="11789" width="8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40" width="7.625" style="568" bestFit="1" customWidth="1"/>
    <col min="12041" max="12041" width="5" style="568" bestFit="1" customWidth="1"/>
    <col min="12042" max="12042" width="8.375" style="568" bestFit="1" customWidth="1"/>
    <col min="12043" max="12043" width="18.75" style="568" bestFit="1" customWidth="1"/>
    <col min="12044" max="12045" width="8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6" width="7.625" style="568" bestFit="1" customWidth="1"/>
    <col min="12297" max="12297" width="5" style="568" bestFit="1" customWidth="1"/>
    <col min="12298" max="12298" width="8.375" style="568" bestFit="1" customWidth="1"/>
    <col min="12299" max="12299" width="18.75" style="568" bestFit="1" customWidth="1"/>
    <col min="12300" max="12301" width="8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2" width="7.625" style="568" bestFit="1" customWidth="1"/>
    <col min="12553" max="12553" width="5" style="568" bestFit="1" customWidth="1"/>
    <col min="12554" max="12554" width="8.375" style="568" bestFit="1" customWidth="1"/>
    <col min="12555" max="12555" width="18.75" style="568" bestFit="1" customWidth="1"/>
    <col min="12556" max="12557" width="8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8" width="7.625" style="568" bestFit="1" customWidth="1"/>
    <col min="12809" max="12809" width="5" style="568" bestFit="1" customWidth="1"/>
    <col min="12810" max="12810" width="8.375" style="568" bestFit="1" customWidth="1"/>
    <col min="12811" max="12811" width="18.75" style="568" bestFit="1" customWidth="1"/>
    <col min="12812" max="12813" width="8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4" width="7.625" style="568" bestFit="1" customWidth="1"/>
    <col min="13065" max="13065" width="5" style="568" bestFit="1" customWidth="1"/>
    <col min="13066" max="13066" width="8.375" style="568" bestFit="1" customWidth="1"/>
    <col min="13067" max="13067" width="18.75" style="568" bestFit="1" customWidth="1"/>
    <col min="13068" max="13069" width="8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20" width="7.625" style="568" bestFit="1" customWidth="1"/>
    <col min="13321" max="13321" width="5" style="568" bestFit="1" customWidth="1"/>
    <col min="13322" max="13322" width="8.375" style="568" bestFit="1" customWidth="1"/>
    <col min="13323" max="13323" width="18.75" style="568" bestFit="1" customWidth="1"/>
    <col min="13324" max="13325" width="8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6" width="7.625" style="568" bestFit="1" customWidth="1"/>
    <col min="13577" max="13577" width="5" style="568" bestFit="1" customWidth="1"/>
    <col min="13578" max="13578" width="8.375" style="568" bestFit="1" customWidth="1"/>
    <col min="13579" max="13579" width="18.75" style="568" bestFit="1" customWidth="1"/>
    <col min="13580" max="13581" width="8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2" width="7.625" style="568" bestFit="1" customWidth="1"/>
    <col min="13833" max="13833" width="5" style="568" bestFit="1" customWidth="1"/>
    <col min="13834" max="13834" width="8.375" style="568" bestFit="1" customWidth="1"/>
    <col min="13835" max="13835" width="18.75" style="568" bestFit="1" customWidth="1"/>
    <col min="13836" max="13837" width="8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8" width="7.625" style="568" bestFit="1" customWidth="1"/>
    <col min="14089" max="14089" width="5" style="568" bestFit="1" customWidth="1"/>
    <col min="14090" max="14090" width="8.375" style="568" bestFit="1" customWidth="1"/>
    <col min="14091" max="14091" width="18.75" style="568" bestFit="1" customWidth="1"/>
    <col min="14092" max="14093" width="8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4" width="7.625" style="568" bestFit="1" customWidth="1"/>
    <col min="14345" max="14345" width="5" style="568" bestFit="1" customWidth="1"/>
    <col min="14346" max="14346" width="8.375" style="568" bestFit="1" customWidth="1"/>
    <col min="14347" max="14347" width="18.75" style="568" bestFit="1" customWidth="1"/>
    <col min="14348" max="14349" width="8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600" width="7.625" style="568" bestFit="1" customWidth="1"/>
    <col min="14601" max="14601" width="5" style="568" bestFit="1" customWidth="1"/>
    <col min="14602" max="14602" width="8.375" style="568" bestFit="1" customWidth="1"/>
    <col min="14603" max="14603" width="18.75" style="568" bestFit="1" customWidth="1"/>
    <col min="14604" max="14605" width="8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6" width="7.625" style="568" bestFit="1" customWidth="1"/>
    <col min="14857" max="14857" width="5" style="568" bestFit="1" customWidth="1"/>
    <col min="14858" max="14858" width="8.375" style="568" bestFit="1" customWidth="1"/>
    <col min="14859" max="14859" width="18.75" style="568" bestFit="1" customWidth="1"/>
    <col min="14860" max="14861" width="8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2" width="7.625" style="568" bestFit="1" customWidth="1"/>
    <col min="15113" max="15113" width="5" style="568" bestFit="1" customWidth="1"/>
    <col min="15114" max="15114" width="8.375" style="568" bestFit="1" customWidth="1"/>
    <col min="15115" max="15115" width="18.75" style="568" bestFit="1" customWidth="1"/>
    <col min="15116" max="15117" width="8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8" width="7.625" style="568" bestFit="1" customWidth="1"/>
    <col min="15369" max="15369" width="5" style="568" bestFit="1" customWidth="1"/>
    <col min="15370" max="15370" width="8.375" style="568" bestFit="1" customWidth="1"/>
    <col min="15371" max="15371" width="18.75" style="568" bestFit="1" customWidth="1"/>
    <col min="15372" max="15373" width="8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4" width="7.625" style="568" bestFit="1" customWidth="1"/>
    <col min="15625" max="15625" width="5" style="568" bestFit="1" customWidth="1"/>
    <col min="15626" max="15626" width="8.375" style="568" bestFit="1" customWidth="1"/>
    <col min="15627" max="15627" width="18.75" style="568" bestFit="1" customWidth="1"/>
    <col min="15628" max="15629" width="8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80" width="7.625" style="568" bestFit="1" customWidth="1"/>
    <col min="15881" max="15881" width="5" style="568" bestFit="1" customWidth="1"/>
    <col min="15882" max="15882" width="8.375" style="568" bestFit="1" customWidth="1"/>
    <col min="15883" max="15883" width="18.75" style="568" bestFit="1" customWidth="1"/>
    <col min="15884" max="15885" width="8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6" width="7.625" style="568" bestFit="1" customWidth="1"/>
    <col min="16137" max="16137" width="5" style="568" bestFit="1" customWidth="1"/>
    <col min="16138" max="16138" width="8.375" style="568" bestFit="1" customWidth="1"/>
    <col min="16139" max="16139" width="18.75" style="568" bestFit="1" customWidth="1"/>
    <col min="16140" max="16141" width="8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876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401</v>
      </c>
      <c r="J9" s="567" t="s">
        <v>327</v>
      </c>
      <c r="K9" s="567" t="s">
        <v>1002</v>
      </c>
      <c r="L9" s="567" t="s">
        <v>1003</v>
      </c>
      <c r="M9" s="567" t="s">
        <v>1004</v>
      </c>
      <c r="N9" s="567" t="s">
        <v>1011</v>
      </c>
      <c r="O9" s="567" t="s">
        <v>1012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0.12533564814814815</v>
      </c>
      <c r="E10" s="567">
        <v>86632</v>
      </c>
      <c r="F10" s="567" t="s">
        <v>1001</v>
      </c>
      <c r="G10" s="567" t="s">
        <v>326</v>
      </c>
      <c r="H10" s="567">
        <v>0</v>
      </c>
      <c r="I10" s="567">
        <v>401</v>
      </c>
      <c r="J10" s="567" t="s">
        <v>327</v>
      </c>
      <c r="K10" s="567" t="s">
        <v>1002</v>
      </c>
      <c r="L10" s="567" t="s">
        <v>1003</v>
      </c>
      <c r="M10" s="567" t="s">
        <v>1004</v>
      </c>
      <c r="N10" s="567" t="s">
        <v>1011</v>
      </c>
      <c r="O10" s="567" t="s">
        <v>1012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0.13333333333333333</v>
      </c>
      <c r="E11" s="567">
        <v>5528</v>
      </c>
      <c r="F11" s="567" t="s">
        <v>335</v>
      </c>
      <c r="G11" s="567">
        <v>0</v>
      </c>
      <c r="H11" s="567" t="s">
        <v>326</v>
      </c>
      <c r="I11" s="567" t="s">
        <v>336</v>
      </c>
      <c r="J11" s="567">
        <v>0</v>
      </c>
      <c r="K11" s="567" t="s">
        <v>337</v>
      </c>
      <c r="L11" s="567">
        <v>45</v>
      </c>
      <c r="M11" s="567">
        <v>1</v>
      </c>
    </row>
    <row r="12" spans="1:18" ht="15" x14ac:dyDescent="0.2">
      <c r="A12" s="567"/>
      <c r="B12" s="567"/>
      <c r="C12" s="567"/>
      <c r="D12" s="569">
        <v>0.13680555555555554</v>
      </c>
      <c r="E12" s="567">
        <v>0</v>
      </c>
      <c r="F12" s="567" t="s">
        <v>1001</v>
      </c>
      <c r="G12" s="567" t="s">
        <v>326</v>
      </c>
      <c r="H12" s="567">
        <v>0</v>
      </c>
      <c r="I12" s="567">
        <v>97</v>
      </c>
      <c r="J12" s="567" t="s">
        <v>327</v>
      </c>
      <c r="K12" s="567" t="s">
        <v>1002</v>
      </c>
      <c r="L12" s="567" t="s">
        <v>1003</v>
      </c>
      <c r="M12" s="567" t="s">
        <v>1004</v>
      </c>
      <c r="N12" s="567" t="s">
        <v>1011</v>
      </c>
      <c r="O12" s="567" t="s">
        <v>1012</v>
      </c>
      <c r="P12" s="567" t="s">
        <v>1007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0.21513888888888888</v>
      </c>
      <c r="E13" s="567">
        <v>54144</v>
      </c>
      <c r="F13" s="567" t="s">
        <v>1001</v>
      </c>
      <c r="G13" s="567" t="s">
        <v>326</v>
      </c>
      <c r="H13" s="567">
        <v>0</v>
      </c>
      <c r="I13" s="567">
        <v>97</v>
      </c>
      <c r="J13" s="567" t="s">
        <v>327</v>
      </c>
      <c r="K13" s="567" t="s">
        <v>1002</v>
      </c>
      <c r="L13" s="567" t="s">
        <v>1003</v>
      </c>
      <c r="M13" s="567" t="s">
        <v>1004</v>
      </c>
      <c r="N13" s="567" t="s">
        <v>1011</v>
      </c>
      <c r="O13" s="567" t="s">
        <v>1012</v>
      </c>
      <c r="P13" s="567" t="s">
        <v>1009</v>
      </c>
      <c r="Q13" s="567" t="s">
        <v>1008</v>
      </c>
      <c r="R13" s="567">
        <v>80</v>
      </c>
    </row>
    <row r="14" spans="1:18" ht="15" x14ac:dyDescent="0.2">
      <c r="A14" s="567"/>
      <c r="B14" s="567"/>
      <c r="C14" s="567"/>
      <c r="D14" s="569">
        <v>0.22013888888888888</v>
      </c>
      <c r="E14" s="567">
        <v>3456</v>
      </c>
      <c r="F14" s="567" t="s">
        <v>1001</v>
      </c>
      <c r="G14" s="567" t="s">
        <v>326</v>
      </c>
      <c r="H14" s="567">
        <v>0</v>
      </c>
      <c r="I14" s="567">
        <v>39</v>
      </c>
      <c r="J14" s="567" t="s">
        <v>327</v>
      </c>
      <c r="K14" s="567" t="s">
        <v>1002</v>
      </c>
      <c r="L14" s="567" t="s">
        <v>1003</v>
      </c>
      <c r="M14" s="567" t="s">
        <v>1004</v>
      </c>
      <c r="N14" s="567" t="s">
        <v>1005</v>
      </c>
      <c r="O14" s="567" t="s">
        <v>1006</v>
      </c>
      <c r="P14" s="567" t="s">
        <v>1007</v>
      </c>
      <c r="Q14" s="567" t="s">
        <v>1008</v>
      </c>
      <c r="R14" s="567">
        <v>80</v>
      </c>
    </row>
    <row r="15" spans="1:18" ht="15" x14ac:dyDescent="0.2">
      <c r="A15" s="567"/>
      <c r="B15" s="567"/>
      <c r="C15" s="567"/>
      <c r="D15" s="569">
        <v>0.25930555555555557</v>
      </c>
      <c r="E15" s="567">
        <v>27072</v>
      </c>
      <c r="F15" s="567" t="s">
        <v>1001</v>
      </c>
      <c r="G15" s="567" t="s">
        <v>326</v>
      </c>
      <c r="H15" s="567">
        <v>0</v>
      </c>
      <c r="I15" s="567">
        <v>39</v>
      </c>
      <c r="J15" s="567" t="s">
        <v>327</v>
      </c>
      <c r="K15" s="567" t="s">
        <v>1002</v>
      </c>
      <c r="L15" s="567" t="s">
        <v>1003</v>
      </c>
      <c r="M15" s="567" t="s">
        <v>1004</v>
      </c>
      <c r="N15" s="567" t="s">
        <v>1005</v>
      </c>
      <c r="O15" s="567" t="s">
        <v>1006</v>
      </c>
      <c r="P15" s="567" t="s">
        <v>1009</v>
      </c>
      <c r="Q15" s="567" t="s">
        <v>1008</v>
      </c>
      <c r="R15" s="567">
        <v>80</v>
      </c>
    </row>
    <row r="16" spans="1:18" ht="15" x14ac:dyDescent="0.2">
      <c r="A16" s="567"/>
      <c r="B16" s="567"/>
      <c r="C16" s="567"/>
      <c r="D16" s="569">
        <v>0.25930555555555557</v>
      </c>
      <c r="E16" s="567">
        <v>0</v>
      </c>
      <c r="F16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8"/>
  <sheetViews>
    <sheetView workbookViewId="0">
      <selection activeCell="K30" sqref="K30"/>
    </sheetView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" style="568" bestFit="1" customWidth="1"/>
    <col min="5" max="5" width="9.375" style="568" bestFit="1" customWidth="1"/>
    <col min="6" max="6" width="26.25" style="568" bestFit="1" customWidth="1"/>
    <col min="7" max="8" width="7.625" style="568" bestFit="1" customWidth="1"/>
    <col min="9" max="9" width="5" style="568" bestFit="1" customWidth="1"/>
    <col min="10" max="10" width="8.375" style="568" bestFit="1" customWidth="1"/>
    <col min="11" max="11" width="18.75" style="568" bestFit="1" customWidth="1"/>
    <col min="12" max="13" width="11.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4" width="7.625" style="568" bestFit="1" customWidth="1"/>
    <col min="265" max="265" width="5" style="568" bestFit="1" customWidth="1"/>
    <col min="266" max="266" width="8.375" style="568" bestFit="1" customWidth="1"/>
    <col min="267" max="267" width="18.75" style="568" bestFit="1" customWidth="1"/>
    <col min="268" max="269" width="8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20" width="7.625" style="568" bestFit="1" customWidth="1"/>
    <col min="521" max="521" width="5" style="568" bestFit="1" customWidth="1"/>
    <col min="522" max="522" width="8.375" style="568" bestFit="1" customWidth="1"/>
    <col min="523" max="523" width="18.75" style="568" bestFit="1" customWidth="1"/>
    <col min="524" max="525" width="8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6" width="7.625" style="568" bestFit="1" customWidth="1"/>
    <col min="777" max="777" width="5" style="568" bestFit="1" customWidth="1"/>
    <col min="778" max="778" width="8.375" style="568" bestFit="1" customWidth="1"/>
    <col min="779" max="779" width="18.75" style="568" bestFit="1" customWidth="1"/>
    <col min="780" max="781" width="8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2" width="7.625" style="568" bestFit="1" customWidth="1"/>
    <col min="1033" max="1033" width="5" style="568" bestFit="1" customWidth="1"/>
    <col min="1034" max="1034" width="8.375" style="568" bestFit="1" customWidth="1"/>
    <col min="1035" max="1035" width="18.75" style="568" bestFit="1" customWidth="1"/>
    <col min="1036" max="1037" width="8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8" width="7.625" style="568" bestFit="1" customWidth="1"/>
    <col min="1289" max="1289" width="5" style="568" bestFit="1" customWidth="1"/>
    <col min="1290" max="1290" width="8.375" style="568" bestFit="1" customWidth="1"/>
    <col min="1291" max="1291" width="18.75" style="568" bestFit="1" customWidth="1"/>
    <col min="1292" max="1293" width="8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4" width="7.625" style="568" bestFit="1" customWidth="1"/>
    <col min="1545" max="1545" width="5" style="568" bestFit="1" customWidth="1"/>
    <col min="1546" max="1546" width="8.375" style="568" bestFit="1" customWidth="1"/>
    <col min="1547" max="1547" width="18.75" style="568" bestFit="1" customWidth="1"/>
    <col min="1548" max="1549" width="8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800" width="7.625" style="568" bestFit="1" customWidth="1"/>
    <col min="1801" max="1801" width="5" style="568" bestFit="1" customWidth="1"/>
    <col min="1802" max="1802" width="8.375" style="568" bestFit="1" customWidth="1"/>
    <col min="1803" max="1803" width="18.75" style="568" bestFit="1" customWidth="1"/>
    <col min="1804" max="1805" width="8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6" width="7.625" style="568" bestFit="1" customWidth="1"/>
    <col min="2057" max="2057" width="5" style="568" bestFit="1" customWidth="1"/>
    <col min="2058" max="2058" width="8.375" style="568" bestFit="1" customWidth="1"/>
    <col min="2059" max="2059" width="18.75" style="568" bestFit="1" customWidth="1"/>
    <col min="2060" max="2061" width="8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2" width="7.625" style="568" bestFit="1" customWidth="1"/>
    <col min="2313" max="2313" width="5" style="568" bestFit="1" customWidth="1"/>
    <col min="2314" max="2314" width="8.375" style="568" bestFit="1" customWidth="1"/>
    <col min="2315" max="2315" width="18.75" style="568" bestFit="1" customWidth="1"/>
    <col min="2316" max="2317" width="8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8" width="7.625" style="568" bestFit="1" customWidth="1"/>
    <col min="2569" max="2569" width="5" style="568" bestFit="1" customWidth="1"/>
    <col min="2570" max="2570" width="8.375" style="568" bestFit="1" customWidth="1"/>
    <col min="2571" max="2571" width="18.75" style="568" bestFit="1" customWidth="1"/>
    <col min="2572" max="2573" width="8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4" width="7.625" style="568" bestFit="1" customWidth="1"/>
    <col min="2825" max="2825" width="5" style="568" bestFit="1" customWidth="1"/>
    <col min="2826" max="2826" width="8.375" style="568" bestFit="1" customWidth="1"/>
    <col min="2827" max="2827" width="18.75" style="568" bestFit="1" customWidth="1"/>
    <col min="2828" max="2829" width="8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80" width="7.625" style="568" bestFit="1" customWidth="1"/>
    <col min="3081" max="3081" width="5" style="568" bestFit="1" customWidth="1"/>
    <col min="3082" max="3082" width="8.375" style="568" bestFit="1" customWidth="1"/>
    <col min="3083" max="3083" width="18.75" style="568" bestFit="1" customWidth="1"/>
    <col min="3084" max="3085" width="8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6" width="7.625" style="568" bestFit="1" customWidth="1"/>
    <col min="3337" max="3337" width="5" style="568" bestFit="1" customWidth="1"/>
    <col min="3338" max="3338" width="8.375" style="568" bestFit="1" customWidth="1"/>
    <col min="3339" max="3339" width="18.75" style="568" bestFit="1" customWidth="1"/>
    <col min="3340" max="3341" width="8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2" width="7.625" style="568" bestFit="1" customWidth="1"/>
    <col min="3593" max="3593" width="5" style="568" bestFit="1" customWidth="1"/>
    <col min="3594" max="3594" width="8.375" style="568" bestFit="1" customWidth="1"/>
    <col min="3595" max="3595" width="18.75" style="568" bestFit="1" customWidth="1"/>
    <col min="3596" max="3597" width="8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8" width="7.625" style="568" bestFit="1" customWidth="1"/>
    <col min="3849" max="3849" width="5" style="568" bestFit="1" customWidth="1"/>
    <col min="3850" max="3850" width="8.375" style="568" bestFit="1" customWidth="1"/>
    <col min="3851" max="3851" width="18.75" style="568" bestFit="1" customWidth="1"/>
    <col min="3852" max="3853" width="8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4" width="7.625" style="568" bestFit="1" customWidth="1"/>
    <col min="4105" max="4105" width="5" style="568" bestFit="1" customWidth="1"/>
    <col min="4106" max="4106" width="8.375" style="568" bestFit="1" customWidth="1"/>
    <col min="4107" max="4107" width="18.75" style="568" bestFit="1" customWidth="1"/>
    <col min="4108" max="4109" width="8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60" width="7.625" style="568" bestFit="1" customWidth="1"/>
    <col min="4361" max="4361" width="5" style="568" bestFit="1" customWidth="1"/>
    <col min="4362" max="4362" width="8.375" style="568" bestFit="1" customWidth="1"/>
    <col min="4363" max="4363" width="18.75" style="568" bestFit="1" customWidth="1"/>
    <col min="4364" max="4365" width="8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6" width="7.625" style="568" bestFit="1" customWidth="1"/>
    <col min="4617" max="4617" width="5" style="568" bestFit="1" customWidth="1"/>
    <col min="4618" max="4618" width="8.375" style="568" bestFit="1" customWidth="1"/>
    <col min="4619" max="4619" width="18.75" style="568" bestFit="1" customWidth="1"/>
    <col min="4620" max="4621" width="8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2" width="7.625" style="568" bestFit="1" customWidth="1"/>
    <col min="4873" max="4873" width="5" style="568" bestFit="1" customWidth="1"/>
    <col min="4874" max="4874" width="8.375" style="568" bestFit="1" customWidth="1"/>
    <col min="4875" max="4875" width="18.75" style="568" bestFit="1" customWidth="1"/>
    <col min="4876" max="4877" width="8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8" width="7.625" style="568" bestFit="1" customWidth="1"/>
    <col min="5129" max="5129" width="5" style="568" bestFit="1" customWidth="1"/>
    <col min="5130" max="5130" width="8.375" style="568" bestFit="1" customWidth="1"/>
    <col min="5131" max="5131" width="18.75" style="568" bestFit="1" customWidth="1"/>
    <col min="5132" max="5133" width="8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4" width="7.625" style="568" bestFit="1" customWidth="1"/>
    <col min="5385" max="5385" width="5" style="568" bestFit="1" customWidth="1"/>
    <col min="5386" max="5386" width="8.375" style="568" bestFit="1" customWidth="1"/>
    <col min="5387" max="5387" width="18.75" style="568" bestFit="1" customWidth="1"/>
    <col min="5388" max="5389" width="8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40" width="7.625" style="568" bestFit="1" customWidth="1"/>
    <col min="5641" max="5641" width="5" style="568" bestFit="1" customWidth="1"/>
    <col min="5642" max="5642" width="8.375" style="568" bestFit="1" customWidth="1"/>
    <col min="5643" max="5643" width="18.75" style="568" bestFit="1" customWidth="1"/>
    <col min="5644" max="5645" width="8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6" width="7.625" style="568" bestFit="1" customWidth="1"/>
    <col min="5897" max="5897" width="5" style="568" bestFit="1" customWidth="1"/>
    <col min="5898" max="5898" width="8.375" style="568" bestFit="1" customWidth="1"/>
    <col min="5899" max="5899" width="18.75" style="568" bestFit="1" customWidth="1"/>
    <col min="5900" max="5901" width="8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2" width="7.625" style="568" bestFit="1" customWidth="1"/>
    <col min="6153" max="6153" width="5" style="568" bestFit="1" customWidth="1"/>
    <col min="6154" max="6154" width="8.375" style="568" bestFit="1" customWidth="1"/>
    <col min="6155" max="6155" width="18.75" style="568" bestFit="1" customWidth="1"/>
    <col min="6156" max="6157" width="8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8" width="7.625" style="568" bestFit="1" customWidth="1"/>
    <col min="6409" max="6409" width="5" style="568" bestFit="1" customWidth="1"/>
    <col min="6410" max="6410" width="8.375" style="568" bestFit="1" customWidth="1"/>
    <col min="6411" max="6411" width="18.75" style="568" bestFit="1" customWidth="1"/>
    <col min="6412" max="6413" width="8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4" width="7.625" style="568" bestFit="1" customWidth="1"/>
    <col min="6665" max="6665" width="5" style="568" bestFit="1" customWidth="1"/>
    <col min="6666" max="6666" width="8.375" style="568" bestFit="1" customWidth="1"/>
    <col min="6667" max="6667" width="18.75" style="568" bestFit="1" customWidth="1"/>
    <col min="6668" max="6669" width="8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20" width="7.625" style="568" bestFit="1" customWidth="1"/>
    <col min="6921" max="6921" width="5" style="568" bestFit="1" customWidth="1"/>
    <col min="6922" max="6922" width="8.375" style="568" bestFit="1" customWidth="1"/>
    <col min="6923" max="6923" width="18.75" style="568" bestFit="1" customWidth="1"/>
    <col min="6924" max="6925" width="8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6" width="7.625" style="568" bestFit="1" customWidth="1"/>
    <col min="7177" max="7177" width="5" style="568" bestFit="1" customWidth="1"/>
    <col min="7178" max="7178" width="8.375" style="568" bestFit="1" customWidth="1"/>
    <col min="7179" max="7179" width="18.75" style="568" bestFit="1" customWidth="1"/>
    <col min="7180" max="7181" width="8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2" width="7.625" style="568" bestFit="1" customWidth="1"/>
    <col min="7433" max="7433" width="5" style="568" bestFit="1" customWidth="1"/>
    <col min="7434" max="7434" width="8.375" style="568" bestFit="1" customWidth="1"/>
    <col min="7435" max="7435" width="18.75" style="568" bestFit="1" customWidth="1"/>
    <col min="7436" max="7437" width="8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8" width="7.625" style="568" bestFit="1" customWidth="1"/>
    <col min="7689" max="7689" width="5" style="568" bestFit="1" customWidth="1"/>
    <col min="7690" max="7690" width="8.375" style="568" bestFit="1" customWidth="1"/>
    <col min="7691" max="7691" width="18.75" style="568" bestFit="1" customWidth="1"/>
    <col min="7692" max="7693" width="8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4" width="7.625" style="568" bestFit="1" customWidth="1"/>
    <col min="7945" max="7945" width="5" style="568" bestFit="1" customWidth="1"/>
    <col min="7946" max="7946" width="8.375" style="568" bestFit="1" customWidth="1"/>
    <col min="7947" max="7947" width="18.75" style="568" bestFit="1" customWidth="1"/>
    <col min="7948" max="7949" width="8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200" width="7.625" style="568" bestFit="1" customWidth="1"/>
    <col min="8201" max="8201" width="5" style="568" bestFit="1" customWidth="1"/>
    <col min="8202" max="8202" width="8.375" style="568" bestFit="1" customWidth="1"/>
    <col min="8203" max="8203" width="18.75" style="568" bestFit="1" customWidth="1"/>
    <col min="8204" max="8205" width="8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6" width="7.625" style="568" bestFit="1" customWidth="1"/>
    <col min="8457" max="8457" width="5" style="568" bestFit="1" customWidth="1"/>
    <col min="8458" max="8458" width="8.375" style="568" bestFit="1" customWidth="1"/>
    <col min="8459" max="8459" width="18.75" style="568" bestFit="1" customWidth="1"/>
    <col min="8460" max="8461" width="8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2" width="7.625" style="568" bestFit="1" customWidth="1"/>
    <col min="8713" max="8713" width="5" style="568" bestFit="1" customWidth="1"/>
    <col min="8714" max="8714" width="8.375" style="568" bestFit="1" customWidth="1"/>
    <col min="8715" max="8715" width="18.75" style="568" bestFit="1" customWidth="1"/>
    <col min="8716" max="8717" width="8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8" width="7.625" style="568" bestFit="1" customWidth="1"/>
    <col min="8969" max="8969" width="5" style="568" bestFit="1" customWidth="1"/>
    <col min="8970" max="8970" width="8.375" style="568" bestFit="1" customWidth="1"/>
    <col min="8971" max="8971" width="18.75" style="568" bestFit="1" customWidth="1"/>
    <col min="8972" max="8973" width="8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4" width="7.625" style="568" bestFit="1" customWidth="1"/>
    <col min="9225" max="9225" width="5" style="568" bestFit="1" customWidth="1"/>
    <col min="9226" max="9226" width="8.375" style="568" bestFit="1" customWidth="1"/>
    <col min="9227" max="9227" width="18.75" style="568" bestFit="1" customWidth="1"/>
    <col min="9228" max="9229" width="8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80" width="7.625" style="568" bestFit="1" customWidth="1"/>
    <col min="9481" max="9481" width="5" style="568" bestFit="1" customWidth="1"/>
    <col min="9482" max="9482" width="8.375" style="568" bestFit="1" customWidth="1"/>
    <col min="9483" max="9483" width="18.75" style="568" bestFit="1" customWidth="1"/>
    <col min="9484" max="9485" width="8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6" width="7.625" style="568" bestFit="1" customWidth="1"/>
    <col min="9737" max="9737" width="5" style="568" bestFit="1" customWidth="1"/>
    <col min="9738" max="9738" width="8.375" style="568" bestFit="1" customWidth="1"/>
    <col min="9739" max="9739" width="18.75" style="568" bestFit="1" customWidth="1"/>
    <col min="9740" max="9741" width="8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2" width="7.625" style="568" bestFit="1" customWidth="1"/>
    <col min="9993" max="9993" width="5" style="568" bestFit="1" customWidth="1"/>
    <col min="9994" max="9994" width="8.375" style="568" bestFit="1" customWidth="1"/>
    <col min="9995" max="9995" width="18.75" style="568" bestFit="1" customWidth="1"/>
    <col min="9996" max="9997" width="8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8" width="7.625" style="568" bestFit="1" customWidth="1"/>
    <col min="10249" max="10249" width="5" style="568" bestFit="1" customWidth="1"/>
    <col min="10250" max="10250" width="8.375" style="568" bestFit="1" customWidth="1"/>
    <col min="10251" max="10251" width="18.75" style="568" bestFit="1" customWidth="1"/>
    <col min="10252" max="10253" width="8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4" width="7.625" style="568" bestFit="1" customWidth="1"/>
    <col min="10505" max="10505" width="5" style="568" bestFit="1" customWidth="1"/>
    <col min="10506" max="10506" width="8.375" style="568" bestFit="1" customWidth="1"/>
    <col min="10507" max="10507" width="18.75" style="568" bestFit="1" customWidth="1"/>
    <col min="10508" max="10509" width="8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60" width="7.625" style="568" bestFit="1" customWidth="1"/>
    <col min="10761" max="10761" width="5" style="568" bestFit="1" customWidth="1"/>
    <col min="10762" max="10762" width="8.375" style="568" bestFit="1" customWidth="1"/>
    <col min="10763" max="10763" width="18.75" style="568" bestFit="1" customWidth="1"/>
    <col min="10764" max="10765" width="8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6" width="7.625" style="568" bestFit="1" customWidth="1"/>
    <col min="11017" max="11017" width="5" style="568" bestFit="1" customWidth="1"/>
    <col min="11018" max="11018" width="8.375" style="568" bestFit="1" customWidth="1"/>
    <col min="11019" max="11019" width="18.75" style="568" bestFit="1" customWidth="1"/>
    <col min="11020" max="11021" width="8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2" width="7.625" style="568" bestFit="1" customWidth="1"/>
    <col min="11273" max="11273" width="5" style="568" bestFit="1" customWidth="1"/>
    <col min="11274" max="11274" width="8.375" style="568" bestFit="1" customWidth="1"/>
    <col min="11275" max="11275" width="18.75" style="568" bestFit="1" customWidth="1"/>
    <col min="11276" max="11277" width="8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8" width="7.625" style="568" bestFit="1" customWidth="1"/>
    <col min="11529" max="11529" width="5" style="568" bestFit="1" customWidth="1"/>
    <col min="11530" max="11530" width="8.375" style="568" bestFit="1" customWidth="1"/>
    <col min="11531" max="11531" width="18.75" style="568" bestFit="1" customWidth="1"/>
    <col min="11532" max="11533" width="8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4" width="7.625" style="568" bestFit="1" customWidth="1"/>
    <col min="11785" max="11785" width="5" style="568" bestFit="1" customWidth="1"/>
    <col min="11786" max="11786" width="8.375" style="568" bestFit="1" customWidth="1"/>
    <col min="11787" max="11787" width="18.75" style="568" bestFit="1" customWidth="1"/>
    <col min="11788" max="11789" width="8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40" width="7.625" style="568" bestFit="1" customWidth="1"/>
    <col min="12041" max="12041" width="5" style="568" bestFit="1" customWidth="1"/>
    <col min="12042" max="12042" width="8.375" style="568" bestFit="1" customWidth="1"/>
    <col min="12043" max="12043" width="18.75" style="568" bestFit="1" customWidth="1"/>
    <col min="12044" max="12045" width="8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6" width="7.625" style="568" bestFit="1" customWidth="1"/>
    <col min="12297" max="12297" width="5" style="568" bestFit="1" customWidth="1"/>
    <col min="12298" max="12298" width="8.375" style="568" bestFit="1" customWidth="1"/>
    <col min="12299" max="12299" width="18.75" style="568" bestFit="1" customWidth="1"/>
    <col min="12300" max="12301" width="8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2" width="7.625" style="568" bestFit="1" customWidth="1"/>
    <col min="12553" max="12553" width="5" style="568" bestFit="1" customWidth="1"/>
    <col min="12554" max="12554" width="8.375" style="568" bestFit="1" customWidth="1"/>
    <col min="12555" max="12555" width="18.75" style="568" bestFit="1" customWidth="1"/>
    <col min="12556" max="12557" width="8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8" width="7.625" style="568" bestFit="1" customWidth="1"/>
    <col min="12809" max="12809" width="5" style="568" bestFit="1" customWidth="1"/>
    <col min="12810" max="12810" width="8.375" style="568" bestFit="1" customWidth="1"/>
    <col min="12811" max="12811" width="18.75" style="568" bestFit="1" customWidth="1"/>
    <col min="12812" max="12813" width="8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4" width="7.625" style="568" bestFit="1" customWidth="1"/>
    <col min="13065" max="13065" width="5" style="568" bestFit="1" customWidth="1"/>
    <col min="13066" max="13066" width="8.375" style="568" bestFit="1" customWidth="1"/>
    <col min="13067" max="13067" width="18.75" style="568" bestFit="1" customWidth="1"/>
    <col min="13068" max="13069" width="8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20" width="7.625" style="568" bestFit="1" customWidth="1"/>
    <col min="13321" max="13321" width="5" style="568" bestFit="1" customWidth="1"/>
    <col min="13322" max="13322" width="8.375" style="568" bestFit="1" customWidth="1"/>
    <col min="13323" max="13323" width="18.75" style="568" bestFit="1" customWidth="1"/>
    <col min="13324" max="13325" width="8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6" width="7.625" style="568" bestFit="1" customWidth="1"/>
    <col min="13577" max="13577" width="5" style="568" bestFit="1" customWidth="1"/>
    <col min="13578" max="13578" width="8.375" style="568" bestFit="1" customWidth="1"/>
    <col min="13579" max="13579" width="18.75" style="568" bestFit="1" customWidth="1"/>
    <col min="13580" max="13581" width="8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2" width="7.625" style="568" bestFit="1" customWidth="1"/>
    <col min="13833" max="13833" width="5" style="568" bestFit="1" customWidth="1"/>
    <col min="13834" max="13834" width="8.375" style="568" bestFit="1" customWidth="1"/>
    <col min="13835" max="13835" width="18.75" style="568" bestFit="1" customWidth="1"/>
    <col min="13836" max="13837" width="8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8" width="7.625" style="568" bestFit="1" customWidth="1"/>
    <col min="14089" max="14089" width="5" style="568" bestFit="1" customWidth="1"/>
    <col min="14090" max="14090" width="8.375" style="568" bestFit="1" customWidth="1"/>
    <col min="14091" max="14091" width="18.75" style="568" bestFit="1" customWidth="1"/>
    <col min="14092" max="14093" width="8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4" width="7.625" style="568" bestFit="1" customWidth="1"/>
    <col min="14345" max="14345" width="5" style="568" bestFit="1" customWidth="1"/>
    <col min="14346" max="14346" width="8.375" style="568" bestFit="1" customWidth="1"/>
    <col min="14347" max="14347" width="18.75" style="568" bestFit="1" customWidth="1"/>
    <col min="14348" max="14349" width="8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600" width="7.625" style="568" bestFit="1" customWidth="1"/>
    <col min="14601" max="14601" width="5" style="568" bestFit="1" customWidth="1"/>
    <col min="14602" max="14602" width="8.375" style="568" bestFit="1" customWidth="1"/>
    <col min="14603" max="14603" width="18.75" style="568" bestFit="1" customWidth="1"/>
    <col min="14604" max="14605" width="8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6" width="7.625" style="568" bestFit="1" customWidth="1"/>
    <col min="14857" max="14857" width="5" style="568" bestFit="1" customWidth="1"/>
    <col min="14858" max="14858" width="8.375" style="568" bestFit="1" customWidth="1"/>
    <col min="14859" max="14859" width="18.75" style="568" bestFit="1" customWidth="1"/>
    <col min="14860" max="14861" width="8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2" width="7.625" style="568" bestFit="1" customWidth="1"/>
    <col min="15113" max="15113" width="5" style="568" bestFit="1" customWidth="1"/>
    <col min="15114" max="15114" width="8.375" style="568" bestFit="1" customWidth="1"/>
    <col min="15115" max="15115" width="18.75" style="568" bestFit="1" customWidth="1"/>
    <col min="15116" max="15117" width="8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8" width="7.625" style="568" bestFit="1" customWidth="1"/>
    <col min="15369" max="15369" width="5" style="568" bestFit="1" customWidth="1"/>
    <col min="15370" max="15370" width="8.375" style="568" bestFit="1" customWidth="1"/>
    <col min="15371" max="15371" width="18.75" style="568" bestFit="1" customWidth="1"/>
    <col min="15372" max="15373" width="8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4" width="7.625" style="568" bestFit="1" customWidth="1"/>
    <col min="15625" max="15625" width="5" style="568" bestFit="1" customWidth="1"/>
    <col min="15626" max="15626" width="8.375" style="568" bestFit="1" customWidth="1"/>
    <col min="15627" max="15627" width="18.75" style="568" bestFit="1" customWidth="1"/>
    <col min="15628" max="15629" width="8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80" width="7.625" style="568" bestFit="1" customWidth="1"/>
    <col min="15881" max="15881" width="5" style="568" bestFit="1" customWidth="1"/>
    <col min="15882" max="15882" width="8.375" style="568" bestFit="1" customWidth="1"/>
    <col min="15883" max="15883" width="18.75" style="568" bestFit="1" customWidth="1"/>
    <col min="15884" max="15885" width="8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6" width="7.625" style="568" bestFit="1" customWidth="1"/>
    <col min="16137" max="16137" width="5" style="568" bestFit="1" customWidth="1"/>
    <col min="16138" max="16138" width="8.375" style="568" bestFit="1" customWidth="1"/>
    <col min="16139" max="16139" width="18.75" style="568" bestFit="1" customWidth="1"/>
    <col min="16140" max="16141" width="8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880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401</v>
      </c>
      <c r="J9" s="567" t="s">
        <v>327</v>
      </c>
      <c r="K9" s="567" t="s">
        <v>329</v>
      </c>
      <c r="L9" s="567" t="s">
        <v>330</v>
      </c>
      <c r="M9" s="567" t="s">
        <v>331</v>
      </c>
      <c r="N9" s="567" t="s">
        <v>1005</v>
      </c>
      <c r="O9" s="567" t="s">
        <v>1006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0.11945601851851852</v>
      </c>
      <c r="E10" s="567">
        <v>82568</v>
      </c>
      <c r="F10" s="567" t="s">
        <v>1001</v>
      </c>
      <c r="G10" s="567" t="s">
        <v>326</v>
      </c>
      <c r="H10" s="567">
        <v>0</v>
      </c>
      <c r="I10" s="567">
        <v>401</v>
      </c>
      <c r="J10" s="567" t="s">
        <v>327</v>
      </c>
      <c r="K10" s="567" t="s">
        <v>329</v>
      </c>
      <c r="L10" s="567" t="s">
        <v>330</v>
      </c>
      <c r="M10" s="567" t="s">
        <v>331</v>
      </c>
      <c r="N10" s="567" t="s">
        <v>1005</v>
      </c>
      <c r="O10" s="567" t="s">
        <v>1006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0.12708333333333333</v>
      </c>
      <c r="E11" s="567">
        <v>5272</v>
      </c>
      <c r="F11" s="567" t="s">
        <v>335</v>
      </c>
      <c r="G11" s="567">
        <v>0</v>
      </c>
      <c r="H11" s="567" t="s">
        <v>326</v>
      </c>
      <c r="I11" s="567" t="s">
        <v>336</v>
      </c>
      <c r="J11" s="567">
        <v>0</v>
      </c>
      <c r="K11" s="567" t="s">
        <v>337</v>
      </c>
      <c r="L11" s="567">
        <v>45</v>
      </c>
      <c r="M11" s="567">
        <v>1</v>
      </c>
    </row>
    <row r="12" spans="1:18" ht="15" x14ac:dyDescent="0.2">
      <c r="A12" s="567"/>
      <c r="B12" s="567"/>
      <c r="C12" s="567"/>
      <c r="D12" s="569">
        <v>0.13055555555555556</v>
      </c>
      <c r="E12" s="567">
        <v>0</v>
      </c>
      <c r="F12" s="567" t="s">
        <v>1001</v>
      </c>
      <c r="G12" s="567" t="s">
        <v>326</v>
      </c>
      <c r="H12" s="567">
        <v>0</v>
      </c>
      <c r="I12" s="567">
        <v>97</v>
      </c>
      <c r="J12" s="567" t="s">
        <v>327</v>
      </c>
      <c r="K12" s="567" t="s">
        <v>1002</v>
      </c>
      <c r="L12" s="567" t="s">
        <v>1003</v>
      </c>
      <c r="M12" s="567" t="s">
        <v>1004</v>
      </c>
      <c r="N12" s="567" t="s">
        <v>1011</v>
      </c>
      <c r="O12" s="567" t="s">
        <v>1012</v>
      </c>
      <c r="P12" s="567" t="s">
        <v>1007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0.18277777777777779</v>
      </c>
      <c r="E13" s="567">
        <v>36096</v>
      </c>
      <c r="F13" s="567" t="s">
        <v>1001</v>
      </c>
      <c r="G13" s="567" t="s">
        <v>326</v>
      </c>
      <c r="H13" s="567">
        <v>0</v>
      </c>
      <c r="I13" s="567">
        <v>97</v>
      </c>
      <c r="J13" s="567" t="s">
        <v>327</v>
      </c>
      <c r="K13" s="567" t="s">
        <v>1002</v>
      </c>
      <c r="L13" s="567" t="s">
        <v>1003</v>
      </c>
      <c r="M13" s="567" t="s">
        <v>1004</v>
      </c>
      <c r="N13" s="567" t="s">
        <v>1011</v>
      </c>
      <c r="O13" s="567" t="s">
        <v>1012</v>
      </c>
      <c r="P13" s="567" t="s">
        <v>1009</v>
      </c>
      <c r="Q13" s="567" t="s">
        <v>1008</v>
      </c>
      <c r="R13" s="567">
        <v>80</v>
      </c>
    </row>
    <row r="14" spans="1:18" ht="15" x14ac:dyDescent="0.2">
      <c r="A14" s="567"/>
      <c r="B14" s="567"/>
      <c r="C14" s="567"/>
      <c r="D14" s="569">
        <v>0.18611111111111112</v>
      </c>
      <c r="E14" s="567">
        <v>2304</v>
      </c>
      <c r="F14" s="567" t="s">
        <v>1001</v>
      </c>
      <c r="G14" s="567" t="s">
        <v>326</v>
      </c>
      <c r="H14" s="567">
        <v>0</v>
      </c>
      <c r="I14" s="567">
        <v>401</v>
      </c>
      <c r="J14" s="567" t="s">
        <v>327</v>
      </c>
      <c r="K14" s="567" t="s">
        <v>1002</v>
      </c>
      <c r="L14" s="567" t="s">
        <v>1003</v>
      </c>
      <c r="M14" s="567" t="s">
        <v>1004</v>
      </c>
      <c r="N14" s="567" t="s">
        <v>1011</v>
      </c>
      <c r="O14" s="567" t="s">
        <v>1012</v>
      </c>
      <c r="P14" s="567" t="s">
        <v>1007</v>
      </c>
      <c r="Q14" s="567" t="s">
        <v>1008</v>
      </c>
      <c r="R14" s="567">
        <v>80</v>
      </c>
    </row>
    <row r="15" spans="1:18" ht="15" x14ac:dyDescent="0.2">
      <c r="A15" s="567"/>
      <c r="B15" s="567"/>
      <c r="C15" s="567"/>
      <c r="D15" s="569">
        <v>0.28076388888888887</v>
      </c>
      <c r="E15" s="567">
        <v>65424</v>
      </c>
      <c r="F15" s="567" t="s">
        <v>1001</v>
      </c>
      <c r="G15" s="567" t="s">
        <v>326</v>
      </c>
      <c r="H15" s="567">
        <v>0</v>
      </c>
      <c r="I15" s="567">
        <v>401</v>
      </c>
      <c r="J15" s="567" t="s">
        <v>327</v>
      </c>
      <c r="K15" s="567" t="s">
        <v>1002</v>
      </c>
      <c r="L15" s="567" t="s">
        <v>1003</v>
      </c>
      <c r="M15" s="567" t="s">
        <v>1004</v>
      </c>
      <c r="N15" s="567" t="s">
        <v>1011</v>
      </c>
      <c r="O15" s="567" t="s">
        <v>1012</v>
      </c>
      <c r="P15" s="567" t="s">
        <v>1009</v>
      </c>
      <c r="Q15" s="567" t="s">
        <v>1008</v>
      </c>
      <c r="R15" s="567">
        <v>80</v>
      </c>
    </row>
    <row r="16" spans="1:18" ht="15" x14ac:dyDescent="0.2">
      <c r="A16" s="567"/>
      <c r="B16" s="567"/>
      <c r="C16" s="567"/>
      <c r="D16" s="569">
        <v>0.28680555555555554</v>
      </c>
      <c r="E16" s="567">
        <v>4176</v>
      </c>
      <c r="F16" s="567" t="s">
        <v>1001</v>
      </c>
      <c r="G16" s="567" t="s">
        <v>326</v>
      </c>
      <c r="H16" s="567">
        <v>0</v>
      </c>
      <c r="I16" s="567">
        <v>39</v>
      </c>
      <c r="J16" s="567" t="s">
        <v>327</v>
      </c>
      <c r="K16" s="567" t="s">
        <v>329</v>
      </c>
      <c r="L16" s="567" t="s">
        <v>330</v>
      </c>
      <c r="M16" s="567" t="s">
        <v>331</v>
      </c>
      <c r="N16" s="567" t="s">
        <v>1005</v>
      </c>
      <c r="O16" s="567" t="s">
        <v>1006</v>
      </c>
      <c r="P16" s="567" t="s">
        <v>1007</v>
      </c>
      <c r="Q16" s="567" t="s">
        <v>1008</v>
      </c>
      <c r="R16" s="567">
        <v>80</v>
      </c>
    </row>
    <row r="17" spans="4:18" ht="15" x14ac:dyDescent="0.2">
      <c r="D17" s="569">
        <v>0.29790509259259262</v>
      </c>
      <c r="E17" s="567">
        <v>7672</v>
      </c>
      <c r="F17" s="567" t="s">
        <v>1001</v>
      </c>
      <c r="G17" s="567" t="s">
        <v>326</v>
      </c>
      <c r="H17" s="567">
        <v>0</v>
      </c>
      <c r="I17" s="567">
        <v>39</v>
      </c>
      <c r="J17" s="567" t="s">
        <v>327</v>
      </c>
      <c r="K17" s="567" t="s">
        <v>329</v>
      </c>
      <c r="L17" s="567" t="s">
        <v>330</v>
      </c>
      <c r="M17" s="567" t="s">
        <v>331</v>
      </c>
      <c r="N17" s="567" t="s">
        <v>1005</v>
      </c>
      <c r="O17" s="567" t="s">
        <v>1006</v>
      </c>
      <c r="P17" s="567" t="s">
        <v>1009</v>
      </c>
      <c r="Q17" s="567" t="s">
        <v>1008</v>
      </c>
      <c r="R17" s="567">
        <v>80</v>
      </c>
    </row>
    <row r="18" spans="4:18" ht="15" x14ac:dyDescent="0.2">
      <c r="D18" s="569">
        <v>0.29790509259259262</v>
      </c>
      <c r="E18" s="567">
        <v>0</v>
      </c>
      <c r="F18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7" width="7.625" style="568" bestFit="1" customWidth="1"/>
    <col min="8" max="8" width="2.25" style="568" bestFit="1" customWidth="1"/>
    <col min="9" max="9" width="4.375" style="568" bestFit="1" customWidth="1"/>
    <col min="10" max="10" width="8.375" style="568" bestFit="1" customWidth="1"/>
    <col min="11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3" width="7.625" style="568" bestFit="1" customWidth="1"/>
    <col min="264" max="264" width="2.25" style="568" bestFit="1" customWidth="1"/>
    <col min="265" max="265" width="4.375" style="568" bestFit="1" customWidth="1"/>
    <col min="266" max="266" width="8.375" style="568" bestFit="1" customWidth="1"/>
    <col min="267" max="269" width="8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19" width="7.625" style="568" bestFit="1" customWidth="1"/>
    <col min="520" max="520" width="2.25" style="568" bestFit="1" customWidth="1"/>
    <col min="521" max="521" width="4.375" style="568" bestFit="1" customWidth="1"/>
    <col min="522" max="522" width="8.375" style="568" bestFit="1" customWidth="1"/>
    <col min="523" max="525" width="8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5" width="7.625" style="568" bestFit="1" customWidth="1"/>
    <col min="776" max="776" width="2.25" style="568" bestFit="1" customWidth="1"/>
    <col min="777" max="777" width="4.375" style="568" bestFit="1" customWidth="1"/>
    <col min="778" max="778" width="8.375" style="568" bestFit="1" customWidth="1"/>
    <col min="779" max="781" width="8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1" width="7.625" style="568" bestFit="1" customWidth="1"/>
    <col min="1032" max="1032" width="2.25" style="568" bestFit="1" customWidth="1"/>
    <col min="1033" max="1033" width="4.375" style="568" bestFit="1" customWidth="1"/>
    <col min="1034" max="1034" width="8.375" style="568" bestFit="1" customWidth="1"/>
    <col min="1035" max="1037" width="8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7" width="7.625" style="568" bestFit="1" customWidth="1"/>
    <col min="1288" max="1288" width="2.25" style="568" bestFit="1" customWidth="1"/>
    <col min="1289" max="1289" width="4.375" style="568" bestFit="1" customWidth="1"/>
    <col min="1290" max="1290" width="8.375" style="568" bestFit="1" customWidth="1"/>
    <col min="1291" max="1293" width="8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3" width="7.625" style="568" bestFit="1" customWidth="1"/>
    <col min="1544" max="1544" width="2.25" style="568" bestFit="1" customWidth="1"/>
    <col min="1545" max="1545" width="4.375" style="568" bestFit="1" customWidth="1"/>
    <col min="1546" max="1546" width="8.375" style="568" bestFit="1" customWidth="1"/>
    <col min="1547" max="1549" width="8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799" width="7.625" style="568" bestFit="1" customWidth="1"/>
    <col min="1800" max="1800" width="2.25" style="568" bestFit="1" customWidth="1"/>
    <col min="1801" max="1801" width="4.375" style="568" bestFit="1" customWidth="1"/>
    <col min="1802" max="1802" width="8.375" style="568" bestFit="1" customWidth="1"/>
    <col min="1803" max="1805" width="8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5" width="7.625" style="568" bestFit="1" customWidth="1"/>
    <col min="2056" max="2056" width="2.25" style="568" bestFit="1" customWidth="1"/>
    <col min="2057" max="2057" width="4.375" style="568" bestFit="1" customWidth="1"/>
    <col min="2058" max="2058" width="8.375" style="568" bestFit="1" customWidth="1"/>
    <col min="2059" max="2061" width="8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1" width="7.625" style="568" bestFit="1" customWidth="1"/>
    <col min="2312" max="2312" width="2.25" style="568" bestFit="1" customWidth="1"/>
    <col min="2313" max="2313" width="4.375" style="568" bestFit="1" customWidth="1"/>
    <col min="2314" max="2314" width="8.375" style="568" bestFit="1" customWidth="1"/>
    <col min="2315" max="2317" width="8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7" width="7.625" style="568" bestFit="1" customWidth="1"/>
    <col min="2568" max="2568" width="2.25" style="568" bestFit="1" customWidth="1"/>
    <col min="2569" max="2569" width="4.375" style="568" bestFit="1" customWidth="1"/>
    <col min="2570" max="2570" width="8.375" style="568" bestFit="1" customWidth="1"/>
    <col min="2571" max="2573" width="8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3" width="7.625" style="568" bestFit="1" customWidth="1"/>
    <col min="2824" max="2824" width="2.25" style="568" bestFit="1" customWidth="1"/>
    <col min="2825" max="2825" width="4.375" style="568" bestFit="1" customWidth="1"/>
    <col min="2826" max="2826" width="8.375" style="568" bestFit="1" customWidth="1"/>
    <col min="2827" max="2829" width="8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79" width="7.625" style="568" bestFit="1" customWidth="1"/>
    <col min="3080" max="3080" width="2.25" style="568" bestFit="1" customWidth="1"/>
    <col min="3081" max="3081" width="4.375" style="568" bestFit="1" customWidth="1"/>
    <col min="3082" max="3082" width="8.375" style="568" bestFit="1" customWidth="1"/>
    <col min="3083" max="3085" width="8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5" width="7.625" style="568" bestFit="1" customWidth="1"/>
    <col min="3336" max="3336" width="2.25" style="568" bestFit="1" customWidth="1"/>
    <col min="3337" max="3337" width="4.375" style="568" bestFit="1" customWidth="1"/>
    <col min="3338" max="3338" width="8.375" style="568" bestFit="1" customWidth="1"/>
    <col min="3339" max="3341" width="8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1" width="7.625" style="568" bestFit="1" customWidth="1"/>
    <col min="3592" max="3592" width="2.25" style="568" bestFit="1" customWidth="1"/>
    <col min="3593" max="3593" width="4.375" style="568" bestFit="1" customWidth="1"/>
    <col min="3594" max="3594" width="8.375" style="568" bestFit="1" customWidth="1"/>
    <col min="3595" max="3597" width="8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7" width="7.625" style="568" bestFit="1" customWidth="1"/>
    <col min="3848" max="3848" width="2.25" style="568" bestFit="1" customWidth="1"/>
    <col min="3849" max="3849" width="4.375" style="568" bestFit="1" customWidth="1"/>
    <col min="3850" max="3850" width="8.375" style="568" bestFit="1" customWidth="1"/>
    <col min="3851" max="3853" width="8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3" width="7.625" style="568" bestFit="1" customWidth="1"/>
    <col min="4104" max="4104" width="2.25" style="568" bestFit="1" customWidth="1"/>
    <col min="4105" max="4105" width="4.375" style="568" bestFit="1" customWidth="1"/>
    <col min="4106" max="4106" width="8.375" style="568" bestFit="1" customWidth="1"/>
    <col min="4107" max="4109" width="8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59" width="7.625" style="568" bestFit="1" customWidth="1"/>
    <col min="4360" max="4360" width="2.25" style="568" bestFit="1" customWidth="1"/>
    <col min="4361" max="4361" width="4.375" style="568" bestFit="1" customWidth="1"/>
    <col min="4362" max="4362" width="8.375" style="568" bestFit="1" customWidth="1"/>
    <col min="4363" max="4365" width="8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5" width="7.625" style="568" bestFit="1" customWidth="1"/>
    <col min="4616" max="4616" width="2.25" style="568" bestFit="1" customWidth="1"/>
    <col min="4617" max="4617" width="4.375" style="568" bestFit="1" customWidth="1"/>
    <col min="4618" max="4618" width="8.375" style="568" bestFit="1" customWidth="1"/>
    <col min="4619" max="4621" width="8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1" width="7.625" style="568" bestFit="1" customWidth="1"/>
    <col min="4872" max="4872" width="2.25" style="568" bestFit="1" customWidth="1"/>
    <col min="4873" max="4873" width="4.375" style="568" bestFit="1" customWidth="1"/>
    <col min="4874" max="4874" width="8.375" style="568" bestFit="1" customWidth="1"/>
    <col min="4875" max="4877" width="8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7" width="7.625" style="568" bestFit="1" customWidth="1"/>
    <col min="5128" max="5128" width="2.25" style="568" bestFit="1" customWidth="1"/>
    <col min="5129" max="5129" width="4.375" style="568" bestFit="1" customWidth="1"/>
    <col min="5130" max="5130" width="8.375" style="568" bestFit="1" customWidth="1"/>
    <col min="5131" max="5133" width="8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3" width="7.625" style="568" bestFit="1" customWidth="1"/>
    <col min="5384" max="5384" width="2.25" style="568" bestFit="1" customWidth="1"/>
    <col min="5385" max="5385" width="4.375" style="568" bestFit="1" customWidth="1"/>
    <col min="5386" max="5386" width="8.375" style="568" bestFit="1" customWidth="1"/>
    <col min="5387" max="5389" width="8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39" width="7.625" style="568" bestFit="1" customWidth="1"/>
    <col min="5640" max="5640" width="2.25" style="568" bestFit="1" customWidth="1"/>
    <col min="5641" max="5641" width="4.375" style="568" bestFit="1" customWidth="1"/>
    <col min="5642" max="5642" width="8.375" style="568" bestFit="1" customWidth="1"/>
    <col min="5643" max="5645" width="8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5" width="7.625" style="568" bestFit="1" customWidth="1"/>
    <col min="5896" max="5896" width="2.25" style="568" bestFit="1" customWidth="1"/>
    <col min="5897" max="5897" width="4.375" style="568" bestFit="1" customWidth="1"/>
    <col min="5898" max="5898" width="8.375" style="568" bestFit="1" customWidth="1"/>
    <col min="5899" max="5901" width="8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1" width="7.625" style="568" bestFit="1" customWidth="1"/>
    <col min="6152" max="6152" width="2.25" style="568" bestFit="1" customWidth="1"/>
    <col min="6153" max="6153" width="4.375" style="568" bestFit="1" customWidth="1"/>
    <col min="6154" max="6154" width="8.375" style="568" bestFit="1" customWidth="1"/>
    <col min="6155" max="6157" width="8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7" width="7.625" style="568" bestFit="1" customWidth="1"/>
    <col min="6408" max="6408" width="2.25" style="568" bestFit="1" customWidth="1"/>
    <col min="6409" max="6409" width="4.375" style="568" bestFit="1" customWidth="1"/>
    <col min="6410" max="6410" width="8.375" style="568" bestFit="1" customWidth="1"/>
    <col min="6411" max="6413" width="8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3" width="7.625" style="568" bestFit="1" customWidth="1"/>
    <col min="6664" max="6664" width="2.25" style="568" bestFit="1" customWidth="1"/>
    <col min="6665" max="6665" width="4.375" style="568" bestFit="1" customWidth="1"/>
    <col min="6666" max="6666" width="8.375" style="568" bestFit="1" customWidth="1"/>
    <col min="6667" max="6669" width="8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19" width="7.625" style="568" bestFit="1" customWidth="1"/>
    <col min="6920" max="6920" width="2.25" style="568" bestFit="1" customWidth="1"/>
    <col min="6921" max="6921" width="4.375" style="568" bestFit="1" customWidth="1"/>
    <col min="6922" max="6922" width="8.375" style="568" bestFit="1" customWidth="1"/>
    <col min="6923" max="6925" width="8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5" width="7.625" style="568" bestFit="1" customWidth="1"/>
    <col min="7176" max="7176" width="2.25" style="568" bestFit="1" customWidth="1"/>
    <col min="7177" max="7177" width="4.375" style="568" bestFit="1" customWidth="1"/>
    <col min="7178" max="7178" width="8.375" style="568" bestFit="1" customWidth="1"/>
    <col min="7179" max="7181" width="8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1" width="7.625" style="568" bestFit="1" customWidth="1"/>
    <col min="7432" max="7432" width="2.25" style="568" bestFit="1" customWidth="1"/>
    <col min="7433" max="7433" width="4.375" style="568" bestFit="1" customWidth="1"/>
    <col min="7434" max="7434" width="8.375" style="568" bestFit="1" customWidth="1"/>
    <col min="7435" max="7437" width="8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7" width="7.625" style="568" bestFit="1" customWidth="1"/>
    <col min="7688" max="7688" width="2.25" style="568" bestFit="1" customWidth="1"/>
    <col min="7689" max="7689" width="4.375" style="568" bestFit="1" customWidth="1"/>
    <col min="7690" max="7690" width="8.375" style="568" bestFit="1" customWidth="1"/>
    <col min="7691" max="7693" width="8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3" width="7.625" style="568" bestFit="1" customWidth="1"/>
    <col min="7944" max="7944" width="2.25" style="568" bestFit="1" customWidth="1"/>
    <col min="7945" max="7945" width="4.375" style="568" bestFit="1" customWidth="1"/>
    <col min="7946" max="7946" width="8.375" style="568" bestFit="1" customWidth="1"/>
    <col min="7947" max="7949" width="8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199" width="7.625" style="568" bestFit="1" customWidth="1"/>
    <col min="8200" max="8200" width="2.25" style="568" bestFit="1" customWidth="1"/>
    <col min="8201" max="8201" width="4.375" style="568" bestFit="1" customWidth="1"/>
    <col min="8202" max="8202" width="8.375" style="568" bestFit="1" customWidth="1"/>
    <col min="8203" max="8205" width="8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5" width="7.625" style="568" bestFit="1" customWidth="1"/>
    <col min="8456" max="8456" width="2.25" style="568" bestFit="1" customWidth="1"/>
    <col min="8457" max="8457" width="4.375" style="568" bestFit="1" customWidth="1"/>
    <col min="8458" max="8458" width="8.375" style="568" bestFit="1" customWidth="1"/>
    <col min="8459" max="8461" width="8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1" width="7.625" style="568" bestFit="1" customWidth="1"/>
    <col min="8712" max="8712" width="2.25" style="568" bestFit="1" customWidth="1"/>
    <col min="8713" max="8713" width="4.375" style="568" bestFit="1" customWidth="1"/>
    <col min="8714" max="8714" width="8.375" style="568" bestFit="1" customWidth="1"/>
    <col min="8715" max="8717" width="8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7" width="7.625" style="568" bestFit="1" customWidth="1"/>
    <col min="8968" max="8968" width="2.25" style="568" bestFit="1" customWidth="1"/>
    <col min="8969" max="8969" width="4.375" style="568" bestFit="1" customWidth="1"/>
    <col min="8970" max="8970" width="8.375" style="568" bestFit="1" customWidth="1"/>
    <col min="8971" max="8973" width="8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3" width="7.625" style="568" bestFit="1" customWidth="1"/>
    <col min="9224" max="9224" width="2.25" style="568" bestFit="1" customWidth="1"/>
    <col min="9225" max="9225" width="4.375" style="568" bestFit="1" customWidth="1"/>
    <col min="9226" max="9226" width="8.375" style="568" bestFit="1" customWidth="1"/>
    <col min="9227" max="9229" width="8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79" width="7.625" style="568" bestFit="1" customWidth="1"/>
    <col min="9480" max="9480" width="2.25" style="568" bestFit="1" customWidth="1"/>
    <col min="9481" max="9481" width="4.375" style="568" bestFit="1" customWidth="1"/>
    <col min="9482" max="9482" width="8.375" style="568" bestFit="1" customWidth="1"/>
    <col min="9483" max="9485" width="8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5" width="7.625" style="568" bestFit="1" customWidth="1"/>
    <col min="9736" max="9736" width="2.25" style="568" bestFit="1" customWidth="1"/>
    <col min="9737" max="9737" width="4.375" style="568" bestFit="1" customWidth="1"/>
    <col min="9738" max="9738" width="8.375" style="568" bestFit="1" customWidth="1"/>
    <col min="9739" max="9741" width="8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1" width="7.625" style="568" bestFit="1" customWidth="1"/>
    <col min="9992" max="9992" width="2.25" style="568" bestFit="1" customWidth="1"/>
    <col min="9993" max="9993" width="4.375" style="568" bestFit="1" customWidth="1"/>
    <col min="9994" max="9994" width="8.375" style="568" bestFit="1" customWidth="1"/>
    <col min="9995" max="9997" width="8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7" width="7.625" style="568" bestFit="1" customWidth="1"/>
    <col min="10248" max="10248" width="2.25" style="568" bestFit="1" customWidth="1"/>
    <col min="10249" max="10249" width="4.375" style="568" bestFit="1" customWidth="1"/>
    <col min="10250" max="10250" width="8.375" style="568" bestFit="1" customWidth="1"/>
    <col min="10251" max="10253" width="8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3" width="7.625" style="568" bestFit="1" customWidth="1"/>
    <col min="10504" max="10504" width="2.25" style="568" bestFit="1" customWidth="1"/>
    <col min="10505" max="10505" width="4.375" style="568" bestFit="1" customWidth="1"/>
    <col min="10506" max="10506" width="8.375" style="568" bestFit="1" customWidth="1"/>
    <col min="10507" max="10509" width="8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59" width="7.625" style="568" bestFit="1" customWidth="1"/>
    <col min="10760" max="10760" width="2.25" style="568" bestFit="1" customWidth="1"/>
    <col min="10761" max="10761" width="4.375" style="568" bestFit="1" customWidth="1"/>
    <col min="10762" max="10762" width="8.375" style="568" bestFit="1" customWidth="1"/>
    <col min="10763" max="10765" width="8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5" width="7.625" style="568" bestFit="1" customWidth="1"/>
    <col min="11016" max="11016" width="2.25" style="568" bestFit="1" customWidth="1"/>
    <col min="11017" max="11017" width="4.375" style="568" bestFit="1" customWidth="1"/>
    <col min="11018" max="11018" width="8.375" style="568" bestFit="1" customWidth="1"/>
    <col min="11019" max="11021" width="8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1" width="7.625" style="568" bestFit="1" customWidth="1"/>
    <col min="11272" max="11272" width="2.25" style="568" bestFit="1" customWidth="1"/>
    <col min="11273" max="11273" width="4.375" style="568" bestFit="1" customWidth="1"/>
    <col min="11274" max="11274" width="8.375" style="568" bestFit="1" customWidth="1"/>
    <col min="11275" max="11277" width="8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7" width="7.625" style="568" bestFit="1" customWidth="1"/>
    <col min="11528" max="11528" width="2.25" style="568" bestFit="1" customWidth="1"/>
    <col min="11529" max="11529" width="4.375" style="568" bestFit="1" customWidth="1"/>
    <col min="11530" max="11530" width="8.375" style="568" bestFit="1" customWidth="1"/>
    <col min="11531" max="11533" width="8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3" width="7.625" style="568" bestFit="1" customWidth="1"/>
    <col min="11784" max="11784" width="2.25" style="568" bestFit="1" customWidth="1"/>
    <col min="11785" max="11785" width="4.375" style="568" bestFit="1" customWidth="1"/>
    <col min="11786" max="11786" width="8.375" style="568" bestFit="1" customWidth="1"/>
    <col min="11787" max="11789" width="8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39" width="7.625" style="568" bestFit="1" customWidth="1"/>
    <col min="12040" max="12040" width="2.25" style="568" bestFit="1" customWidth="1"/>
    <col min="12041" max="12041" width="4.375" style="568" bestFit="1" customWidth="1"/>
    <col min="12042" max="12042" width="8.375" style="568" bestFit="1" customWidth="1"/>
    <col min="12043" max="12045" width="8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5" width="7.625" style="568" bestFit="1" customWidth="1"/>
    <col min="12296" max="12296" width="2.25" style="568" bestFit="1" customWidth="1"/>
    <col min="12297" max="12297" width="4.375" style="568" bestFit="1" customWidth="1"/>
    <col min="12298" max="12298" width="8.375" style="568" bestFit="1" customWidth="1"/>
    <col min="12299" max="12301" width="8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1" width="7.625" style="568" bestFit="1" customWidth="1"/>
    <col min="12552" max="12552" width="2.25" style="568" bestFit="1" customWidth="1"/>
    <col min="12553" max="12553" width="4.375" style="568" bestFit="1" customWidth="1"/>
    <col min="12554" max="12554" width="8.375" style="568" bestFit="1" customWidth="1"/>
    <col min="12555" max="12557" width="8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7" width="7.625" style="568" bestFit="1" customWidth="1"/>
    <col min="12808" max="12808" width="2.25" style="568" bestFit="1" customWidth="1"/>
    <col min="12809" max="12809" width="4.375" style="568" bestFit="1" customWidth="1"/>
    <col min="12810" max="12810" width="8.375" style="568" bestFit="1" customWidth="1"/>
    <col min="12811" max="12813" width="8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3" width="7.625" style="568" bestFit="1" customWidth="1"/>
    <col min="13064" max="13064" width="2.25" style="568" bestFit="1" customWidth="1"/>
    <col min="13065" max="13065" width="4.375" style="568" bestFit="1" customWidth="1"/>
    <col min="13066" max="13066" width="8.375" style="568" bestFit="1" customWidth="1"/>
    <col min="13067" max="13069" width="8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19" width="7.625" style="568" bestFit="1" customWidth="1"/>
    <col min="13320" max="13320" width="2.25" style="568" bestFit="1" customWidth="1"/>
    <col min="13321" max="13321" width="4.375" style="568" bestFit="1" customWidth="1"/>
    <col min="13322" max="13322" width="8.375" style="568" bestFit="1" customWidth="1"/>
    <col min="13323" max="13325" width="8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5" width="7.625" style="568" bestFit="1" customWidth="1"/>
    <col min="13576" max="13576" width="2.25" style="568" bestFit="1" customWidth="1"/>
    <col min="13577" max="13577" width="4.375" style="568" bestFit="1" customWidth="1"/>
    <col min="13578" max="13578" width="8.375" style="568" bestFit="1" customWidth="1"/>
    <col min="13579" max="13581" width="8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1" width="7.625" style="568" bestFit="1" customWidth="1"/>
    <col min="13832" max="13832" width="2.25" style="568" bestFit="1" customWidth="1"/>
    <col min="13833" max="13833" width="4.375" style="568" bestFit="1" customWidth="1"/>
    <col min="13834" max="13834" width="8.375" style="568" bestFit="1" customWidth="1"/>
    <col min="13835" max="13837" width="8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7" width="7.625" style="568" bestFit="1" customWidth="1"/>
    <col min="14088" max="14088" width="2.25" style="568" bestFit="1" customWidth="1"/>
    <col min="14089" max="14089" width="4.375" style="568" bestFit="1" customWidth="1"/>
    <col min="14090" max="14090" width="8.375" style="568" bestFit="1" customWidth="1"/>
    <col min="14091" max="14093" width="8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3" width="7.625" style="568" bestFit="1" customWidth="1"/>
    <col min="14344" max="14344" width="2.25" style="568" bestFit="1" customWidth="1"/>
    <col min="14345" max="14345" width="4.375" style="568" bestFit="1" customWidth="1"/>
    <col min="14346" max="14346" width="8.375" style="568" bestFit="1" customWidth="1"/>
    <col min="14347" max="14349" width="8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599" width="7.625" style="568" bestFit="1" customWidth="1"/>
    <col min="14600" max="14600" width="2.25" style="568" bestFit="1" customWidth="1"/>
    <col min="14601" max="14601" width="4.375" style="568" bestFit="1" customWidth="1"/>
    <col min="14602" max="14602" width="8.375" style="568" bestFit="1" customWidth="1"/>
    <col min="14603" max="14605" width="8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5" width="7.625" style="568" bestFit="1" customWidth="1"/>
    <col min="14856" max="14856" width="2.25" style="568" bestFit="1" customWidth="1"/>
    <col min="14857" max="14857" width="4.375" style="568" bestFit="1" customWidth="1"/>
    <col min="14858" max="14858" width="8.375" style="568" bestFit="1" customWidth="1"/>
    <col min="14859" max="14861" width="8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1" width="7.625" style="568" bestFit="1" customWidth="1"/>
    <col min="15112" max="15112" width="2.25" style="568" bestFit="1" customWidth="1"/>
    <col min="15113" max="15113" width="4.375" style="568" bestFit="1" customWidth="1"/>
    <col min="15114" max="15114" width="8.375" style="568" bestFit="1" customWidth="1"/>
    <col min="15115" max="15117" width="8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7" width="7.625" style="568" bestFit="1" customWidth="1"/>
    <col min="15368" max="15368" width="2.25" style="568" bestFit="1" customWidth="1"/>
    <col min="15369" max="15369" width="4.375" style="568" bestFit="1" customWidth="1"/>
    <col min="15370" max="15370" width="8.375" style="568" bestFit="1" customWidth="1"/>
    <col min="15371" max="15373" width="8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3" width="7.625" style="568" bestFit="1" customWidth="1"/>
    <col min="15624" max="15624" width="2.25" style="568" bestFit="1" customWidth="1"/>
    <col min="15625" max="15625" width="4.375" style="568" bestFit="1" customWidth="1"/>
    <col min="15626" max="15626" width="8.375" style="568" bestFit="1" customWidth="1"/>
    <col min="15627" max="15629" width="8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79" width="7.625" style="568" bestFit="1" customWidth="1"/>
    <col min="15880" max="15880" width="2.25" style="568" bestFit="1" customWidth="1"/>
    <col min="15881" max="15881" width="4.375" style="568" bestFit="1" customWidth="1"/>
    <col min="15882" max="15882" width="8.375" style="568" bestFit="1" customWidth="1"/>
    <col min="15883" max="15885" width="8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5" width="7.625" style="568" bestFit="1" customWidth="1"/>
    <col min="16136" max="16136" width="2.25" style="568" bestFit="1" customWidth="1"/>
    <col min="16137" max="16137" width="4.375" style="568" bestFit="1" customWidth="1"/>
    <col min="16138" max="16138" width="8.375" style="568" bestFit="1" customWidth="1"/>
    <col min="16139" max="16141" width="8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883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401</v>
      </c>
      <c r="J9" s="567" t="s">
        <v>327</v>
      </c>
      <c r="K9" s="567" t="s">
        <v>1002</v>
      </c>
      <c r="L9" s="567" t="s">
        <v>1003</v>
      </c>
      <c r="M9" s="567" t="s">
        <v>1004</v>
      </c>
      <c r="N9" s="567" t="s">
        <v>1011</v>
      </c>
      <c r="O9" s="567" t="s">
        <v>1012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0.1625462962962963</v>
      </c>
      <c r="E10" s="567">
        <v>112352</v>
      </c>
      <c r="F10" s="567" t="s">
        <v>1001</v>
      </c>
      <c r="G10" s="567" t="s">
        <v>326</v>
      </c>
      <c r="H10" s="567">
        <v>0</v>
      </c>
      <c r="I10" s="567">
        <v>401</v>
      </c>
      <c r="J10" s="567" t="s">
        <v>327</v>
      </c>
      <c r="K10" s="567" t="s">
        <v>1002</v>
      </c>
      <c r="L10" s="567" t="s">
        <v>1003</v>
      </c>
      <c r="M10" s="567" t="s">
        <v>1004</v>
      </c>
      <c r="N10" s="567" t="s">
        <v>1011</v>
      </c>
      <c r="O10" s="567" t="s">
        <v>1012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0.17291666666666669</v>
      </c>
      <c r="E11" s="567">
        <v>7168</v>
      </c>
      <c r="F11" s="567" t="s">
        <v>1001</v>
      </c>
      <c r="G11" s="567" t="s">
        <v>326</v>
      </c>
      <c r="H11" s="567">
        <v>0</v>
      </c>
      <c r="I11" s="567">
        <v>39</v>
      </c>
      <c r="J11" s="567" t="s">
        <v>327</v>
      </c>
      <c r="K11" s="567" t="s">
        <v>1002</v>
      </c>
      <c r="L11" s="567" t="s">
        <v>1003</v>
      </c>
      <c r="M11" s="567" t="s">
        <v>1004</v>
      </c>
      <c r="N11" s="567" t="s">
        <v>1011</v>
      </c>
      <c r="O11" s="567" t="s">
        <v>1012</v>
      </c>
      <c r="P11" s="567" t="s">
        <v>1007</v>
      </c>
      <c r="Q11" s="567" t="s">
        <v>1008</v>
      </c>
      <c r="R11" s="567">
        <v>80</v>
      </c>
    </row>
    <row r="12" spans="1:18" ht="15" x14ac:dyDescent="0.2">
      <c r="A12" s="567"/>
      <c r="B12" s="567"/>
      <c r="C12" s="567"/>
      <c r="D12" s="569">
        <v>0.21208333333333332</v>
      </c>
      <c r="E12" s="567">
        <v>27072</v>
      </c>
      <c r="F12" s="567" t="s">
        <v>1001</v>
      </c>
      <c r="G12" s="567" t="s">
        <v>326</v>
      </c>
      <c r="H12" s="567">
        <v>0</v>
      </c>
      <c r="I12" s="567">
        <v>39</v>
      </c>
      <c r="J12" s="567" t="s">
        <v>327</v>
      </c>
      <c r="K12" s="567" t="s">
        <v>1002</v>
      </c>
      <c r="L12" s="567" t="s">
        <v>1003</v>
      </c>
      <c r="M12" s="567" t="s">
        <v>1004</v>
      </c>
      <c r="N12" s="567" t="s">
        <v>1011</v>
      </c>
      <c r="O12" s="567" t="s">
        <v>1012</v>
      </c>
      <c r="P12" s="567" t="s">
        <v>1009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0.21458333333333335</v>
      </c>
      <c r="E13" s="567">
        <v>1728</v>
      </c>
      <c r="F13" s="567" t="s">
        <v>1001</v>
      </c>
      <c r="G13" s="567" t="s">
        <v>326</v>
      </c>
      <c r="H13" s="567">
        <v>0</v>
      </c>
      <c r="I13" s="567">
        <v>97</v>
      </c>
      <c r="J13" s="567" t="s">
        <v>1010</v>
      </c>
      <c r="K13" s="567" t="s">
        <v>1002</v>
      </c>
      <c r="L13" s="567" t="s">
        <v>1003</v>
      </c>
      <c r="M13" s="567" t="s">
        <v>1004</v>
      </c>
      <c r="N13" s="567" t="s">
        <v>1005</v>
      </c>
      <c r="O13" s="567" t="s">
        <v>1006</v>
      </c>
      <c r="P13" s="567" t="s">
        <v>1007</v>
      </c>
      <c r="Q13" s="567" t="s">
        <v>1008</v>
      </c>
      <c r="R13" s="567">
        <v>80</v>
      </c>
    </row>
    <row r="14" spans="1:18" ht="15" x14ac:dyDescent="0.2">
      <c r="A14" s="567"/>
      <c r="B14" s="567"/>
      <c r="C14" s="567"/>
      <c r="D14" s="569">
        <v>0.32555555555555554</v>
      </c>
      <c r="E14" s="567">
        <v>76704</v>
      </c>
      <c r="F14" s="567" t="s">
        <v>1001</v>
      </c>
      <c r="G14" s="567" t="s">
        <v>326</v>
      </c>
      <c r="H14" s="567">
        <v>0</v>
      </c>
      <c r="I14" s="567">
        <v>97</v>
      </c>
      <c r="J14" s="567" t="s">
        <v>1010</v>
      </c>
      <c r="K14" s="567" t="s">
        <v>1002</v>
      </c>
      <c r="L14" s="567" t="s">
        <v>1003</v>
      </c>
      <c r="M14" s="567" t="s">
        <v>1004</v>
      </c>
      <c r="N14" s="567" t="s">
        <v>1005</v>
      </c>
      <c r="O14" s="567" t="s">
        <v>1006</v>
      </c>
      <c r="P14" s="567" t="s">
        <v>1009</v>
      </c>
      <c r="Q14" s="567" t="s">
        <v>1008</v>
      </c>
      <c r="R14" s="567">
        <v>80</v>
      </c>
    </row>
    <row r="15" spans="1:18" ht="15" x14ac:dyDescent="0.2">
      <c r="A15" s="567"/>
      <c r="B15" s="567"/>
      <c r="C15" s="567"/>
      <c r="D15" s="569">
        <v>0.32555555555555554</v>
      </c>
      <c r="E15" s="567">
        <v>0</v>
      </c>
      <c r="F15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7" width="7.625" style="568" bestFit="1" customWidth="1"/>
    <col min="8" max="8" width="2.25" style="568" bestFit="1" customWidth="1"/>
    <col min="9" max="9" width="4.375" style="568" bestFit="1" customWidth="1"/>
    <col min="10" max="10" width="8.375" style="568" bestFit="1" customWidth="1"/>
    <col min="11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3" width="7.625" style="568" bestFit="1" customWidth="1"/>
    <col min="264" max="264" width="2.25" style="568" bestFit="1" customWidth="1"/>
    <col min="265" max="265" width="4.375" style="568" bestFit="1" customWidth="1"/>
    <col min="266" max="266" width="8.375" style="568" bestFit="1" customWidth="1"/>
    <col min="267" max="269" width="8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19" width="7.625" style="568" bestFit="1" customWidth="1"/>
    <col min="520" max="520" width="2.25" style="568" bestFit="1" customWidth="1"/>
    <col min="521" max="521" width="4.375" style="568" bestFit="1" customWidth="1"/>
    <col min="522" max="522" width="8.375" style="568" bestFit="1" customWidth="1"/>
    <col min="523" max="525" width="8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5" width="7.625" style="568" bestFit="1" customWidth="1"/>
    <col min="776" max="776" width="2.25" style="568" bestFit="1" customWidth="1"/>
    <col min="777" max="777" width="4.375" style="568" bestFit="1" customWidth="1"/>
    <col min="778" max="778" width="8.375" style="568" bestFit="1" customWidth="1"/>
    <col min="779" max="781" width="8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1" width="7.625" style="568" bestFit="1" customWidth="1"/>
    <col min="1032" max="1032" width="2.25" style="568" bestFit="1" customWidth="1"/>
    <col min="1033" max="1033" width="4.375" style="568" bestFit="1" customWidth="1"/>
    <col min="1034" max="1034" width="8.375" style="568" bestFit="1" customWidth="1"/>
    <col min="1035" max="1037" width="8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7" width="7.625" style="568" bestFit="1" customWidth="1"/>
    <col min="1288" max="1288" width="2.25" style="568" bestFit="1" customWidth="1"/>
    <col min="1289" max="1289" width="4.375" style="568" bestFit="1" customWidth="1"/>
    <col min="1290" max="1290" width="8.375" style="568" bestFit="1" customWidth="1"/>
    <col min="1291" max="1293" width="8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3" width="7.625" style="568" bestFit="1" customWidth="1"/>
    <col min="1544" max="1544" width="2.25" style="568" bestFit="1" customWidth="1"/>
    <col min="1545" max="1545" width="4.375" style="568" bestFit="1" customWidth="1"/>
    <col min="1546" max="1546" width="8.375" style="568" bestFit="1" customWidth="1"/>
    <col min="1547" max="1549" width="8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799" width="7.625" style="568" bestFit="1" customWidth="1"/>
    <col min="1800" max="1800" width="2.25" style="568" bestFit="1" customWidth="1"/>
    <col min="1801" max="1801" width="4.375" style="568" bestFit="1" customWidth="1"/>
    <col min="1802" max="1802" width="8.375" style="568" bestFit="1" customWidth="1"/>
    <col min="1803" max="1805" width="8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5" width="7.625" style="568" bestFit="1" customWidth="1"/>
    <col min="2056" max="2056" width="2.25" style="568" bestFit="1" customWidth="1"/>
    <col min="2057" max="2057" width="4.375" style="568" bestFit="1" customWidth="1"/>
    <col min="2058" max="2058" width="8.375" style="568" bestFit="1" customWidth="1"/>
    <col min="2059" max="2061" width="8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1" width="7.625" style="568" bestFit="1" customWidth="1"/>
    <col min="2312" max="2312" width="2.25" style="568" bestFit="1" customWidth="1"/>
    <col min="2313" max="2313" width="4.375" style="568" bestFit="1" customWidth="1"/>
    <col min="2314" max="2314" width="8.375" style="568" bestFit="1" customWidth="1"/>
    <col min="2315" max="2317" width="8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7" width="7.625" style="568" bestFit="1" customWidth="1"/>
    <col min="2568" max="2568" width="2.25" style="568" bestFit="1" customWidth="1"/>
    <col min="2569" max="2569" width="4.375" style="568" bestFit="1" customWidth="1"/>
    <col min="2570" max="2570" width="8.375" style="568" bestFit="1" customWidth="1"/>
    <col min="2571" max="2573" width="8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3" width="7.625" style="568" bestFit="1" customWidth="1"/>
    <col min="2824" max="2824" width="2.25" style="568" bestFit="1" customWidth="1"/>
    <col min="2825" max="2825" width="4.375" style="568" bestFit="1" customWidth="1"/>
    <col min="2826" max="2826" width="8.375" style="568" bestFit="1" customWidth="1"/>
    <col min="2827" max="2829" width="8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79" width="7.625" style="568" bestFit="1" customWidth="1"/>
    <col min="3080" max="3080" width="2.25" style="568" bestFit="1" customWidth="1"/>
    <col min="3081" max="3081" width="4.375" style="568" bestFit="1" customWidth="1"/>
    <col min="3082" max="3082" width="8.375" style="568" bestFit="1" customWidth="1"/>
    <col min="3083" max="3085" width="8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5" width="7.625" style="568" bestFit="1" customWidth="1"/>
    <col min="3336" max="3336" width="2.25" style="568" bestFit="1" customWidth="1"/>
    <col min="3337" max="3337" width="4.375" style="568" bestFit="1" customWidth="1"/>
    <col min="3338" max="3338" width="8.375" style="568" bestFit="1" customWidth="1"/>
    <col min="3339" max="3341" width="8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1" width="7.625" style="568" bestFit="1" customWidth="1"/>
    <col min="3592" max="3592" width="2.25" style="568" bestFit="1" customWidth="1"/>
    <col min="3593" max="3593" width="4.375" style="568" bestFit="1" customWidth="1"/>
    <col min="3594" max="3594" width="8.375" style="568" bestFit="1" customWidth="1"/>
    <col min="3595" max="3597" width="8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7" width="7.625" style="568" bestFit="1" customWidth="1"/>
    <col min="3848" max="3848" width="2.25" style="568" bestFit="1" customWidth="1"/>
    <col min="3849" max="3849" width="4.375" style="568" bestFit="1" customWidth="1"/>
    <col min="3850" max="3850" width="8.375" style="568" bestFit="1" customWidth="1"/>
    <col min="3851" max="3853" width="8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3" width="7.625" style="568" bestFit="1" customWidth="1"/>
    <col min="4104" max="4104" width="2.25" style="568" bestFit="1" customWidth="1"/>
    <col min="4105" max="4105" width="4.375" style="568" bestFit="1" customWidth="1"/>
    <col min="4106" max="4106" width="8.375" style="568" bestFit="1" customWidth="1"/>
    <col min="4107" max="4109" width="8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59" width="7.625" style="568" bestFit="1" customWidth="1"/>
    <col min="4360" max="4360" width="2.25" style="568" bestFit="1" customWidth="1"/>
    <col min="4361" max="4361" width="4.375" style="568" bestFit="1" customWidth="1"/>
    <col min="4362" max="4362" width="8.375" style="568" bestFit="1" customWidth="1"/>
    <col min="4363" max="4365" width="8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5" width="7.625" style="568" bestFit="1" customWidth="1"/>
    <col min="4616" max="4616" width="2.25" style="568" bestFit="1" customWidth="1"/>
    <col min="4617" max="4617" width="4.375" style="568" bestFit="1" customWidth="1"/>
    <col min="4618" max="4618" width="8.375" style="568" bestFit="1" customWidth="1"/>
    <col min="4619" max="4621" width="8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1" width="7.625" style="568" bestFit="1" customWidth="1"/>
    <col min="4872" max="4872" width="2.25" style="568" bestFit="1" customWidth="1"/>
    <col min="4873" max="4873" width="4.375" style="568" bestFit="1" customWidth="1"/>
    <col min="4874" max="4874" width="8.375" style="568" bestFit="1" customWidth="1"/>
    <col min="4875" max="4877" width="8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7" width="7.625" style="568" bestFit="1" customWidth="1"/>
    <col min="5128" max="5128" width="2.25" style="568" bestFit="1" customWidth="1"/>
    <col min="5129" max="5129" width="4.375" style="568" bestFit="1" customWidth="1"/>
    <col min="5130" max="5130" width="8.375" style="568" bestFit="1" customWidth="1"/>
    <col min="5131" max="5133" width="8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3" width="7.625" style="568" bestFit="1" customWidth="1"/>
    <col min="5384" max="5384" width="2.25" style="568" bestFit="1" customWidth="1"/>
    <col min="5385" max="5385" width="4.375" style="568" bestFit="1" customWidth="1"/>
    <col min="5386" max="5386" width="8.375" style="568" bestFit="1" customWidth="1"/>
    <col min="5387" max="5389" width="8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39" width="7.625" style="568" bestFit="1" customWidth="1"/>
    <col min="5640" max="5640" width="2.25" style="568" bestFit="1" customWidth="1"/>
    <col min="5641" max="5641" width="4.375" style="568" bestFit="1" customWidth="1"/>
    <col min="5642" max="5642" width="8.375" style="568" bestFit="1" customWidth="1"/>
    <col min="5643" max="5645" width="8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5" width="7.625" style="568" bestFit="1" customWidth="1"/>
    <col min="5896" max="5896" width="2.25" style="568" bestFit="1" customWidth="1"/>
    <col min="5897" max="5897" width="4.375" style="568" bestFit="1" customWidth="1"/>
    <col min="5898" max="5898" width="8.375" style="568" bestFit="1" customWidth="1"/>
    <col min="5899" max="5901" width="8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1" width="7.625" style="568" bestFit="1" customWidth="1"/>
    <col min="6152" max="6152" width="2.25" style="568" bestFit="1" customWidth="1"/>
    <col min="6153" max="6153" width="4.375" style="568" bestFit="1" customWidth="1"/>
    <col min="6154" max="6154" width="8.375" style="568" bestFit="1" customWidth="1"/>
    <col min="6155" max="6157" width="8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7" width="7.625" style="568" bestFit="1" customWidth="1"/>
    <col min="6408" max="6408" width="2.25" style="568" bestFit="1" customWidth="1"/>
    <col min="6409" max="6409" width="4.375" style="568" bestFit="1" customWidth="1"/>
    <col min="6410" max="6410" width="8.375" style="568" bestFit="1" customWidth="1"/>
    <col min="6411" max="6413" width="8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3" width="7.625" style="568" bestFit="1" customWidth="1"/>
    <col min="6664" max="6664" width="2.25" style="568" bestFit="1" customWidth="1"/>
    <col min="6665" max="6665" width="4.375" style="568" bestFit="1" customWidth="1"/>
    <col min="6666" max="6666" width="8.375" style="568" bestFit="1" customWidth="1"/>
    <col min="6667" max="6669" width="8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19" width="7.625" style="568" bestFit="1" customWidth="1"/>
    <col min="6920" max="6920" width="2.25" style="568" bestFit="1" customWidth="1"/>
    <col min="6921" max="6921" width="4.375" style="568" bestFit="1" customWidth="1"/>
    <col min="6922" max="6922" width="8.375" style="568" bestFit="1" customWidth="1"/>
    <col min="6923" max="6925" width="8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5" width="7.625" style="568" bestFit="1" customWidth="1"/>
    <col min="7176" max="7176" width="2.25" style="568" bestFit="1" customWidth="1"/>
    <col min="7177" max="7177" width="4.375" style="568" bestFit="1" customWidth="1"/>
    <col min="7178" max="7178" width="8.375" style="568" bestFit="1" customWidth="1"/>
    <col min="7179" max="7181" width="8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1" width="7.625" style="568" bestFit="1" customWidth="1"/>
    <col min="7432" max="7432" width="2.25" style="568" bestFit="1" customWidth="1"/>
    <col min="7433" max="7433" width="4.375" style="568" bestFit="1" customWidth="1"/>
    <col min="7434" max="7434" width="8.375" style="568" bestFit="1" customWidth="1"/>
    <col min="7435" max="7437" width="8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7" width="7.625" style="568" bestFit="1" customWidth="1"/>
    <col min="7688" max="7688" width="2.25" style="568" bestFit="1" customWidth="1"/>
    <col min="7689" max="7689" width="4.375" style="568" bestFit="1" customWidth="1"/>
    <col min="7690" max="7690" width="8.375" style="568" bestFit="1" customWidth="1"/>
    <col min="7691" max="7693" width="8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3" width="7.625" style="568" bestFit="1" customWidth="1"/>
    <col min="7944" max="7944" width="2.25" style="568" bestFit="1" customWidth="1"/>
    <col min="7945" max="7945" width="4.375" style="568" bestFit="1" customWidth="1"/>
    <col min="7946" max="7946" width="8.375" style="568" bestFit="1" customWidth="1"/>
    <col min="7947" max="7949" width="8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199" width="7.625" style="568" bestFit="1" customWidth="1"/>
    <col min="8200" max="8200" width="2.25" style="568" bestFit="1" customWidth="1"/>
    <col min="8201" max="8201" width="4.375" style="568" bestFit="1" customWidth="1"/>
    <col min="8202" max="8202" width="8.375" style="568" bestFit="1" customWidth="1"/>
    <col min="8203" max="8205" width="8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5" width="7.625" style="568" bestFit="1" customWidth="1"/>
    <col min="8456" max="8456" width="2.25" style="568" bestFit="1" customWidth="1"/>
    <col min="8457" max="8457" width="4.375" style="568" bestFit="1" customWidth="1"/>
    <col min="8458" max="8458" width="8.375" style="568" bestFit="1" customWidth="1"/>
    <col min="8459" max="8461" width="8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1" width="7.625" style="568" bestFit="1" customWidth="1"/>
    <col min="8712" max="8712" width="2.25" style="568" bestFit="1" customWidth="1"/>
    <col min="8713" max="8713" width="4.375" style="568" bestFit="1" customWidth="1"/>
    <col min="8714" max="8714" width="8.375" style="568" bestFit="1" customWidth="1"/>
    <col min="8715" max="8717" width="8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7" width="7.625" style="568" bestFit="1" customWidth="1"/>
    <col min="8968" max="8968" width="2.25" style="568" bestFit="1" customWidth="1"/>
    <col min="8969" max="8969" width="4.375" style="568" bestFit="1" customWidth="1"/>
    <col min="8970" max="8970" width="8.375" style="568" bestFit="1" customWidth="1"/>
    <col min="8971" max="8973" width="8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3" width="7.625" style="568" bestFit="1" customWidth="1"/>
    <col min="9224" max="9224" width="2.25" style="568" bestFit="1" customWidth="1"/>
    <col min="9225" max="9225" width="4.375" style="568" bestFit="1" customWidth="1"/>
    <col min="9226" max="9226" width="8.375" style="568" bestFit="1" customWidth="1"/>
    <col min="9227" max="9229" width="8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79" width="7.625" style="568" bestFit="1" customWidth="1"/>
    <col min="9480" max="9480" width="2.25" style="568" bestFit="1" customWidth="1"/>
    <col min="9481" max="9481" width="4.375" style="568" bestFit="1" customWidth="1"/>
    <col min="9482" max="9482" width="8.375" style="568" bestFit="1" customWidth="1"/>
    <col min="9483" max="9485" width="8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5" width="7.625" style="568" bestFit="1" customWidth="1"/>
    <col min="9736" max="9736" width="2.25" style="568" bestFit="1" customWidth="1"/>
    <col min="9737" max="9737" width="4.375" style="568" bestFit="1" customWidth="1"/>
    <col min="9738" max="9738" width="8.375" style="568" bestFit="1" customWidth="1"/>
    <col min="9739" max="9741" width="8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1" width="7.625" style="568" bestFit="1" customWidth="1"/>
    <col min="9992" max="9992" width="2.25" style="568" bestFit="1" customWidth="1"/>
    <col min="9993" max="9993" width="4.375" style="568" bestFit="1" customWidth="1"/>
    <col min="9994" max="9994" width="8.375" style="568" bestFit="1" customWidth="1"/>
    <col min="9995" max="9997" width="8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7" width="7.625" style="568" bestFit="1" customWidth="1"/>
    <col min="10248" max="10248" width="2.25" style="568" bestFit="1" customWidth="1"/>
    <col min="10249" max="10249" width="4.375" style="568" bestFit="1" customWidth="1"/>
    <col min="10250" max="10250" width="8.375" style="568" bestFit="1" customWidth="1"/>
    <col min="10251" max="10253" width="8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3" width="7.625" style="568" bestFit="1" customWidth="1"/>
    <col min="10504" max="10504" width="2.25" style="568" bestFit="1" customWidth="1"/>
    <col min="10505" max="10505" width="4.375" style="568" bestFit="1" customWidth="1"/>
    <col min="10506" max="10506" width="8.375" style="568" bestFit="1" customWidth="1"/>
    <col min="10507" max="10509" width="8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59" width="7.625" style="568" bestFit="1" customWidth="1"/>
    <col min="10760" max="10760" width="2.25" style="568" bestFit="1" customWidth="1"/>
    <col min="10761" max="10761" width="4.375" style="568" bestFit="1" customWidth="1"/>
    <col min="10762" max="10762" width="8.375" style="568" bestFit="1" customWidth="1"/>
    <col min="10763" max="10765" width="8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5" width="7.625" style="568" bestFit="1" customWidth="1"/>
    <col min="11016" max="11016" width="2.25" style="568" bestFit="1" customWidth="1"/>
    <col min="11017" max="11017" width="4.375" style="568" bestFit="1" customWidth="1"/>
    <col min="11018" max="11018" width="8.375" style="568" bestFit="1" customWidth="1"/>
    <col min="11019" max="11021" width="8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1" width="7.625" style="568" bestFit="1" customWidth="1"/>
    <col min="11272" max="11272" width="2.25" style="568" bestFit="1" customWidth="1"/>
    <col min="11273" max="11273" width="4.375" style="568" bestFit="1" customWidth="1"/>
    <col min="11274" max="11274" width="8.375" style="568" bestFit="1" customWidth="1"/>
    <col min="11275" max="11277" width="8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7" width="7.625" style="568" bestFit="1" customWidth="1"/>
    <col min="11528" max="11528" width="2.25" style="568" bestFit="1" customWidth="1"/>
    <col min="11529" max="11529" width="4.375" style="568" bestFit="1" customWidth="1"/>
    <col min="11530" max="11530" width="8.375" style="568" bestFit="1" customWidth="1"/>
    <col min="11531" max="11533" width="8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3" width="7.625" style="568" bestFit="1" customWidth="1"/>
    <col min="11784" max="11784" width="2.25" style="568" bestFit="1" customWidth="1"/>
    <col min="11785" max="11785" width="4.375" style="568" bestFit="1" customWidth="1"/>
    <col min="11786" max="11786" width="8.375" style="568" bestFit="1" customWidth="1"/>
    <col min="11787" max="11789" width="8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39" width="7.625" style="568" bestFit="1" customWidth="1"/>
    <col min="12040" max="12040" width="2.25" style="568" bestFit="1" customWidth="1"/>
    <col min="12041" max="12041" width="4.375" style="568" bestFit="1" customWidth="1"/>
    <col min="12042" max="12042" width="8.375" style="568" bestFit="1" customWidth="1"/>
    <col min="12043" max="12045" width="8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5" width="7.625" style="568" bestFit="1" customWidth="1"/>
    <col min="12296" max="12296" width="2.25" style="568" bestFit="1" customWidth="1"/>
    <col min="12297" max="12297" width="4.375" style="568" bestFit="1" customWidth="1"/>
    <col min="12298" max="12298" width="8.375" style="568" bestFit="1" customWidth="1"/>
    <col min="12299" max="12301" width="8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1" width="7.625" style="568" bestFit="1" customWidth="1"/>
    <col min="12552" max="12552" width="2.25" style="568" bestFit="1" customWidth="1"/>
    <col min="12553" max="12553" width="4.375" style="568" bestFit="1" customWidth="1"/>
    <col min="12554" max="12554" width="8.375" style="568" bestFit="1" customWidth="1"/>
    <col min="12555" max="12557" width="8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7" width="7.625" style="568" bestFit="1" customWidth="1"/>
    <col min="12808" max="12808" width="2.25" style="568" bestFit="1" customWidth="1"/>
    <col min="12809" max="12809" width="4.375" style="568" bestFit="1" customWidth="1"/>
    <col min="12810" max="12810" width="8.375" style="568" bestFit="1" customWidth="1"/>
    <col min="12811" max="12813" width="8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3" width="7.625" style="568" bestFit="1" customWidth="1"/>
    <col min="13064" max="13064" width="2.25" style="568" bestFit="1" customWidth="1"/>
    <col min="13065" max="13065" width="4.375" style="568" bestFit="1" customWidth="1"/>
    <col min="13066" max="13066" width="8.375" style="568" bestFit="1" customWidth="1"/>
    <col min="13067" max="13069" width="8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19" width="7.625" style="568" bestFit="1" customWidth="1"/>
    <col min="13320" max="13320" width="2.25" style="568" bestFit="1" customWidth="1"/>
    <col min="13321" max="13321" width="4.375" style="568" bestFit="1" customWidth="1"/>
    <col min="13322" max="13322" width="8.375" style="568" bestFit="1" customWidth="1"/>
    <col min="13323" max="13325" width="8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5" width="7.625" style="568" bestFit="1" customWidth="1"/>
    <col min="13576" max="13576" width="2.25" style="568" bestFit="1" customWidth="1"/>
    <col min="13577" max="13577" width="4.375" style="568" bestFit="1" customWidth="1"/>
    <col min="13578" max="13578" width="8.375" style="568" bestFit="1" customWidth="1"/>
    <col min="13579" max="13581" width="8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1" width="7.625" style="568" bestFit="1" customWidth="1"/>
    <col min="13832" max="13832" width="2.25" style="568" bestFit="1" customWidth="1"/>
    <col min="13833" max="13833" width="4.375" style="568" bestFit="1" customWidth="1"/>
    <col min="13834" max="13834" width="8.375" style="568" bestFit="1" customWidth="1"/>
    <col min="13835" max="13837" width="8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7" width="7.625" style="568" bestFit="1" customWidth="1"/>
    <col min="14088" max="14088" width="2.25" style="568" bestFit="1" customWidth="1"/>
    <col min="14089" max="14089" width="4.375" style="568" bestFit="1" customWidth="1"/>
    <col min="14090" max="14090" width="8.375" style="568" bestFit="1" customWidth="1"/>
    <col min="14091" max="14093" width="8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3" width="7.625" style="568" bestFit="1" customWidth="1"/>
    <col min="14344" max="14344" width="2.25" style="568" bestFit="1" customWidth="1"/>
    <col min="14345" max="14345" width="4.375" style="568" bestFit="1" customWidth="1"/>
    <col min="14346" max="14346" width="8.375" style="568" bestFit="1" customWidth="1"/>
    <col min="14347" max="14349" width="8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599" width="7.625" style="568" bestFit="1" customWidth="1"/>
    <col min="14600" max="14600" width="2.25" style="568" bestFit="1" customWidth="1"/>
    <col min="14601" max="14601" width="4.375" style="568" bestFit="1" customWidth="1"/>
    <col min="14602" max="14602" width="8.375" style="568" bestFit="1" customWidth="1"/>
    <col min="14603" max="14605" width="8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5" width="7.625" style="568" bestFit="1" customWidth="1"/>
    <col min="14856" max="14856" width="2.25" style="568" bestFit="1" customWidth="1"/>
    <col min="14857" max="14857" width="4.375" style="568" bestFit="1" customWidth="1"/>
    <col min="14858" max="14858" width="8.375" style="568" bestFit="1" customWidth="1"/>
    <col min="14859" max="14861" width="8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1" width="7.625" style="568" bestFit="1" customWidth="1"/>
    <col min="15112" max="15112" width="2.25" style="568" bestFit="1" customWidth="1"/>
    <col min="15113" max="15113" width="4.375" style="568" bestFit="1" customWidth="1"/>
    <col min="15114" max="15114" width="8.375" style="568" bestFit="1" customWidth="1"/>
    <col min="15115" max="15117" width="8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7" width="7.625" style="568" bestFit="1" customWidth="1"/>
    <col min="15368" max="15368" width="2.25" style="568" bestFit="1" customWidth="1"/>
    <col min="15369" max="15369" width="4.375" style="568" bestFit="1" customWidth="1"/>
    <col min="15370" max="15370" width="8.375" style="568" bestFit="1" customWidth="1"/>
    <col min="15371" max="15373" width="8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3" width="7.625" style="568" bestFit="1" customWidth="1"/>
    <col min="15624" max="15624" width="2.25" style="568" bestFit="1" customWidth="1"/>
    <col min="15625" max="15625" width="4.375" style="568" bestFit="1" customWidth="1"/>
    <col min="15626" max="15626" width="8.375" style="568" bestFit="1" customWidth="1"/>
    <col min="15627" max="15629" width="8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79" width="7.625" style="568" bestFit="1" customWidth="1"/>
    <col min="15880" max="15880" width="2.25" style="568" bestFit="1" customWidth="1"/>
    <col min="15881" max="15881" width="4.375" style="568" bestFit="1" customWidth="1"/>
    <col min="15882" max="15882" width="8.375" style="568" bestFit="1" customWidth="1"/>
    <col min="15883" max="15885" width="8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5" width="7.625" style="568" bestFit="1" customWidth="1"/>
    <col min="16136" max="16136" width="2.25" style="568" bestFit="1" customWidth="1"/>
    <col min="16137" max="16137" width="4.375" style="568" bestFit="1" customWidth="1"/>
    <col min="16138" max="16138" width="8.375" style="568" bestFit="1" customWidth="1"/>
    <col min="16139" max="16141" width="8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886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39</v>
      </c>
      <c r="J9" s="567" t="s">
        <v>327</v>
      </c>
      <c r="K9" s="567" t="s">
        <v>1002</v>
      </c>
      <c r="L9" s="567" t="s">
        <v>1003</v>
      </c>
      <c r="M9" s="567" t="s">
        <v>1004</v>
      </c>
      <c r="N9" s="567" t="s">
        <v>1011</v>
      </c>
      <c r="O9" s="567" t="s">
        <v>1012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3.9166666666666662E-2</v>
      </c>
      <c r="E10" s="567">
        <v>27072</v>
      </c>
      <c r="F10" s="567" t="s">
        <v>1001</v>
      </c>
      <c r="G10" s="567" t="s">
        <v>326</v>
      </c>
      <c r="H10" s="567">
        <v>0</v>
      </c>
      <c r="I10" s="567">
        <v>39</v>
      </c>
      <c r="J10" s="567" t="s">
        <v>327</v>
      </c>
      <c r="K10" s="567" t="s">
        <v>1002</v>
      </c>
      <c r="L10" s="567" t="s">
        <v>1003</v>
      </c>
      <c r="M10" s="567" t="s">
        <v>1004</v>
      </c>
      <c r="N10" s="567" t="s">
        <v>1011</v>
      </c>
      <c r="O10" s="567" t="s">
        <v>1012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4.1666666666666664E-2</v>
      </c>
      <c r="E11" s="567">
        <v>1728</v>
      </c>
      <c r="F11" s="567" t="s">
        <v>1001</v>
      </c>
      <c r="G11" s="567" t="s">
        <v>326</v>
      </c>
      <c r="H11" s="567">
        <v>0</v>
      </c>
      <c r="I11" s="567">
        <v>97</v>
      </c>
      <c r="J11" s="567" t="s">
        <v>1010</v>
      </c>
      <c r="K11" s="567" t="s">
        <v>1002</v>
      </c>
      <c r="L11" s="567" t="s">
        <v>1003</v>
      </c>
      <c r="M11" s="567" t="s">
        <v>1004</v>
      </c>
      <c r="N11" s="567" t="s">
        <v>1005</v>
      </c>
      <c r="O11" s="567" t="s">
        <v>1006</v>
      </c>
      <c r="P11" s="567" t="s">
        <v>1007</v>
      </c>
      <c r="Q11" s="567" t="s">
        <v>1008</v>
      </c>
      <c r="R11" s="567">
        <v>80</v>
      </c>
    </row>
    <row r="12" spans="1:18" ht="15" x14ac:dyDescent="0.2">
      <c r="A12" s="567"/>
      <c r="B12" s="567"/>
      <c r="C12" s="567"/>
      <c r="D12" s="569">
        <v>0.15263888888888888</v>
      </c>
      <c r="E12" s="567">
        <v>76704</v>
      </c>
      <c r="F12" s="567" t="s">
        <v>1001</v>
      </c>
      <c r="G12" s="567" t="s">
        <v>326</v>
      </c>
      <c r="H12" s="567">
        <v>0</v>
      </c>
      <c r="I12" s="567">
        <v>97</v>
      </c>
      <c r="J12" s="567" t="s">
        <v>1010</v>
      </c>
      <c r="K12" s="567" t="s">
        <v>1002</v>
      </c>
      <c r="L12" s="567" t="s">
        <v>1003</v>
      </c>
      <c r="M12" s="567" t="s">
        <v>1004</v>
      </c>
      <c r="N12" s="567" t="s">
        <v>1005</v>
      </c>
      <c r="O12" s="567" t="s">
        <v>1006</v>
      </c>
      <c r="P12" s="567" t="s">
        <v>1009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0.15972222222222224</v>
      </c>
      <c r="E13" s="567">
        <v>4896</v>
      </c>
      <c r="F13" s="567" t="s">
        <v>1001</v>
      </c>
      <c r="G13" s="567" t="s">
        <v>326</v>
      </c>
      <c r="H13" s="567">
        <v>0</v>
      </c>
      <c r="I13" s="567">
        <v>401</v>
      </c>
      <c r="J13" s="567" t="s">
        <v>1010</v>
      </c>
      <c r="K13" s="567" t="s">
        <v>1002</v>
      </c>
      <c r="L13" s="567" t="s">
        <v>1003</v>
      </c>
      <c r="M13" s="567" t="s">
        <v>1004</v>
      </c>
      <c r="N13" s="567" t="s">
        <v>1005</v>
      </c>
      <c r="O13" s="567" t="s">
        <v>1006</v>
      </c>
      <c r="P13" s="567" t="s">
        <v>1007</v>
      </c>
      <c r="Q13" s="567" t="s">
        <v>1008</v>
      </c>
      <c r="R13" s="567">
        <v>80</v>
      </c>
    </row>
    <row r="14" spans="1:18" ht="15" x14ac:dyDescent="0.2">
      <c r="A14" s="567"/>
      <c r="B14" s="567"/>
      <c r="C14" s="567"/>
      <c r="D14" s="569">
        <v>0.32226851851851851</v>
      </c>
      <c r="E14" s="567">
        <v>112352</v>
      </c>
      <c r="F14" s="567" t="s">
        <v>1001</v>
      </c>
      <c r="G14" s="567" t="s">
        <v>326</v>
      </c>
      <c r="H14" s="567">
        <v>0</v>
      </c>
      <c r="I14" s="567">
        <v>401</v>
      </c>
      <c r="J14" s="567" t="s">
        <v>1010</v>
      </c>
      <c r="K14" s="567" t="s">
        <v>1002</v>
      </c>
      <c r="L14" s="567" t="s">
        <v>1003</v>
      </c>
      <c r="M14" s="567" t="s">
        <v>1004</v>
      </c>
      <c r="N14" s="567" t="s">
        <v>1005</v>
      </c>
      <c r="O14" s="567" t="s">
        <v>1006</v>
      </c>
      <c r="P14" s="567" t="s">
        <v>1009</v>
      </c>
      <c r="Q14" s="567" t="s">
        <v>1008</v>
      </c>
      <c r="R14" s="567">
        <v>80</v>
      </c>
    </row>
    <row r="15" spans="1:18" ht="15" x14ac:dyDescent="0.2">
      <c r="A15" s="567"/>
      <c r="B15" s="567"/>
      <c r="C15" s="567"/>
      <c r="D15" s="569">
        <v>0.32226851851851851</v>
      </c>
      <c r="E15" s="567">
        <v>0</v>
      </c>
      <c r="F15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6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8" width="7.625" style="568" bestFit="1" customWidth="1"/>
    <col min="9" max="9" width="5" style="568" bestFit="1" customWidth="1"/>
    <col min="10" max="10" width="8.375" style="568" bestFit="1" customWidth="1"/>
    <col min="11" max="11" width="18.75" style="568" bestFit="1" customWidth="1"/>
    <col min="12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4" width="7.625" style="568" bestFit="1" customWidth="1"/>
    <col min="265" max="265" width="5" style="568" bestFit="1" customWidth="1"/>
    <col min="266" max="266" width="8.375" style="568" bestFit="1" customWidth="1"/>
    <col min="267" max="267" width="18.75" style="568" bestFit="1" customWidth="1"/>
    <col min="268" max="269" width="8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20" width="7.625" style="568" bestFit="1" customWidth="1"/>
    <col min="521" max="521" width="5" style="568" bestFit="1" customWidth="1"/>
    <col min="522" max="522" width="8.375" style="568" bestFit="1" customWidth="1"/>
    <col min="523" max="523" width="18.75" style="568" bestFit="1" customWidth="1"/>
    <col min="524" max="525" width="8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6" width="7.625" style="568" bestFit="1" customWidth="1"/>
    <col min="777" max="777" width="5" style="568" bestFit="1" customWidth="1"/>
    <col min="778" max="778" width="8.375" style="568" bestFit="1" customWidth="1"/>
    <col min="779" max="779" width="18.75" style="568" bestFit="1" customWidth="1"/>
    <col min="780" max="781" width="8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2" width="7.625" style="568" bestFit="1" customWidth="1"/>
    <col min="1033" max="1033" width="5" style="568" bestFit="1" customWidth="1"/>
    <col min="1034" max="1034" width="8.375" style="568" bestFit="1" customWidth="1"/>
    <col min="1035" max="1035" width="18.75" style="568" bestFit="1" customWidth="1"/>
    <col min="1036" max="1037" width="8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8" width="7.625" style="568" bestFit="1" customWidth="1"/>
    <col min="1289" max="1289" width="5" style="568" bestFit="1" customWidth="1"/>
    <col min="1290" max="1290" width="8.375" style="568" bestFit="1" customWidth="1"/>
    <col min="1291" max="1291" width="18.75" style="568" bestFit="1" customWidth="1"/>
    <col min="1292" max="1293" width="8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4" width="7.625" style="568" bestFit="1" customWidth="1"/>
    <col min="1545" max="1545" width="5" style="568" bestFit="1" customWidth="1"/>
    <col min="1546" max="1546" width="8.375" style="568" bestFit="1" customWidth="1"/>
    <col min="1547" max="1547" width="18.75" style="568" bestFit="1" customWidth="1"/>
    <col min="1548" max="1549" width="8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800" width="7.625" style="568" bestFit="1" customWidth="1"/>
    <col min="1801" max="1801" width="5" style="568" bestFit="1" customWidth="1"/>
    <col min="1802" max="1802" width="8.375" style="568" bestFit="1" customWidth="1"/>
    <col min="1803" max="1803" width="18.75" style="568" bestFit="1" customWidth="1"/>
    <col min="1804" max="1805" width="8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6" width="7.625" style="568" bestFit="1" customWidth="1"/>
    <col min="2057" max="2057" width="5" style="568" bestFit="1" customWidth="1"/>
    <col min="2058" max="2058" width="8.375" style="568" bestFit="1" customWidth="1"/>
    <col min="2059" max="2059" width="18.75" style="568" bestFit="1" customWidth="1"/>
    <col min="2060" max="2061" width="8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2" width="7.625" style="568" bestFit="1" customWidth="1"/>
    <col min="2313" max="2313" width="5" style="568" bestFit="1" customWidth="1"/>
    <col min="2314" max="2314" width="8.375" style="568" bestFit="1" customWidth="1"/>
    <col min="2315" max="2315" width="18.75" style="568" bestFit="1" customWidth="1"/>
    <col min="2316" max="2317" width="8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8" width="7.625" style="568" bestFit="1" customWidth="1"/>
    <col min="2569" max="2569" width="5" style="568" bestFit="1" customWidth="1"/>
    <col min="2570" max="2570" width="8.375" style="568" bestFit="1" customWidth="1"/>
    <col min="2571" max="2571" width="18.75" style="568" bestFit="1" customWidth="1"/>
    <col min="2572" max="2573" width="8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4" width="7.625" style="568" bestFit="1" customWidth="1"/>
    <col min="2825" max="2825" width="5" style="568" bestFit="1" customWidth="1"/>
    <col min="2826" max="2826" width="8.375" style="568" bestFit="1" customWidth="1"/>
    <col min="2827" max="2827" width="18.75" style="568" bestFit="1" customWidth="1"/>
    <col min="2828" max="2829" width="8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80" width="7.625" style="568" bestFit="1" customWidth="1"/>
    <col min="3081" max="3081" width="5" style="568" bestFit="1" customWidth="1"/>
    <col min="3082" max="3082" width="8.375" style="568" bestFit="1" customWidth="1"/>
    <col min="3083" max="3083" width="18.75" style="568" bestFit="1" customWidth="1"/>
    <col min="3084" max="3085" width="8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6" width="7.625" style="568" bestFit="1" customWidth="1"/>
    <col min="3337" max="3337" width="5" style="568" bestFit="1" customWidth="1"/>
    <col min="3338" max="3338" width="8.375" style="568" bestFit="1" customWidth="1"/>
    <col min="3339" max="3339" width="18.75" style="568" bestFit="1" customWidth="1"/>
    <col min="3340" max="3341" width="8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2" width="7.625" style="568" bestFit="1" customWidth="1"/>
    <col min="3593" max="3593" width="5" style="568" bestFit="1" customWidth="1"/>
    <col min="3594" max="3594" width="8.375" style="568" bestFit="1" customWidth="1"/>
    <col min="3595" max="3595" width="18.75" style="568" bestFit="1" customWidth="1"/>
    <col min="3596" max="3597" width="8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8" width="7.625" style="568" bestFit="1" customWidth="1"/>
    <col min="3849" max="3849" width="5" style="568" bestFit="1" customWidth="1"/>
    <col min="3850" max="3850" width="8.375" style="568" bestFit="1" customWidth="1"/>
    <col min="3851" max="3851" width="18.75" style="568" bestFit="1" customWidth="1"/>
    <col min="3852" max="3853" width="8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4" width="7.625" style="568" bestFit="1" customWidth="1"/>
    <col min="4105" max="4105" width="5" style="568" bestFit="1" customWidth="1"/>
    <col min="4106" max="4106" width="8.375" style="568" bestFit="1" customWidth="1"/>
    <col min="4107" max="4107" width="18.75" style="568" bestFit="1" customWidth="1"/>
    <col min="4108" max="4109" width="8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60" width="7.625" style="568" bestFit="1" customWidth="1"/>
    <col min="4361" max="4361" width="5" style="568" bestFit="1" customWidth="1"/>
    <col min="4362" max="4362" width="8.375" style="568" bestFit="1" customWidth="1"/>
    <col min="4363" max="4363" width="18.75" style="568" bestFit="1" customWidth="1"/>
    <col min="4364" max="4365" width="8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6" width="7.625" style="568" bestFit="1" customWidth="1"/>
    <col min="4617" max="4617" width="5" style="568" bestFit="1" customWidth="1"/>
    <col min="4618" max="4618" width="8.375" style="568" bestFit="1" customWidth="1"/>
    <col min="4619" max="4619" width="18.75" style="568" bestFit="1" customWidth="1"/>
    <col min="4620" max="4621" width="8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2" width="7.625" style="568" bestFit="1" customWidth="1"/>
    <col min="4873" max="4873" width="5" style="568" bestFit="1" customWidth="1"/>
    <col min="4874" max="4874" width="8.375" style="568" bestFit="1" customWidth="1"/>
    <col min="4875" max="4875" width="18.75" style="568" bestFit="1" customWidth="1"/>
    <col min="4876" max="4877" width="8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8" width="7.625" style="568" bestFit="1" customWidth="1"/>
    <col min="5129" max="5129" width="5" style="568" bestFit="1" customWidth="1"/>
    <col min="5130" max="5130" width="8.375" style="568" bestFit="1" customWidth="1"/>
    <col min="5131" max="5131" width="18.75" style="568" bestFit="1" customWidth="1"/>
    <col min="5132" max="5133" width="8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4" width="7.625" style="568" bestFit="1" customWidth="1"/>
    <col min="5385" max="5385" width="5" style="568" bestFit="1" customWidth="1"/>
    <col min="5386" max="5386" width="8.375" style="568" bestFit="1" customWidth="1"/>
    <col min="5387" max="5387" width="18.75" style="568" bestFit="1" customWidth="1"/>
    <col min="5388" max="5389" width="8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40" width="7.625" style="568" bestFit="1" customWidth="1"/>
    <col min="5641" max="5641" width="5" style="568" bestFit="1" customWidth="1"/>
    <col min="5642" max="5642" width="8.375" style="568" bestFit="1" customWidth="1"/>
    <col min="5643" max="5643" width="18.75" style="568" bestFit="1" customWidth="1"/>
    <col min="5644" max="5645" width="8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6" width="7.625" style="568" bestFit="1" customWidth="1"/>
    <col min="5897" max="5897" width="5" style="568" bestFit="1" customWidth="1"/>
    <col min="5898" max="5898" width="8.375" style="568" bestFit="1" customWidth="1"/>
    <col min="5899" max="5899" width="18.75" style="568" bestFit="1" customWidth="1"/>
    <col min="5900" max="5901" width="8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2" width="7.625" style="568" bestFit="1" customWidth="1"/>
    <col min="6153" max="6153" width="5" style="568" bestFit="1" customWidth="1"/>
    <col min="6154" max="6154" width="8.375" style="568" bestFit="1" customWidth="1"/>
    <col min="6155" max="6155" width="18.75" style="568" bestFit="1" customWidth="1"/>
    <col min="6156" max="6157" width="8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8" width="7.625" style="568" bestFit="1" customWidth="1"/>
    <col min="6409" max="6409" width="5" style="568" bestFit="1" customWidth="1"/>
    <col min="6410" max="6410" width="8.375" style="568" bestFit="1" customWidth="1"/>
    <col min="6411" max="6411" width="18.75" style="568" bestFit="1" customWidth="1"/>
    <col min="6412" max="6413" width="8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4" width="7.625" style="568" bestFit="1" customWidth="1"/>
    <col min="6665" max="6665" width="5" style="568" bestFit="1" customWidth="1"/>
    <col min="6666" max="6666" width="8.375" style="568" bestFit="1" customWidth="1"/>
    <col min="6667" max="6667" width="18.75" style="568" bestFit="1" customWidth="1"/>
    <col min="6668" max="6669" width="8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20" width="7.625" style="568" bestFit="1" customWidth="1"/>
    <col min="6921" max="6921" width="5" style="568" bestFit="1" customWidth="1"/>
    <col min="6922" max="6922" width="8.375" style="568" bestFit="1" customWidth="1"/>
    <col min="6923" max="6923" width="18.75" style="568" bestFit="1" customWidth="1"/>
    <col min="6924" max="6925" width="8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6" width="7.625" style="568" bestFit="1" customWidth="1"/>
    <col min="7177" max="7177" width="5" style="568" bestFit="1" customWidth="1"/>
    <col min="7178" max="7178" width="8.375" style="568" bestFit="1" customWidth="1"/>
    <col min="7179" max="7179" width="18.75" style="568" bestFit="1" customWidth="1"/>
    <col min="7180" max="7181" width="8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2" width="7.625" style="568" bestFit="1" customWidth="1"/>
    <col min="7433" max="7433" width="5" style="568" bestFit="1" customWidth="1"/>
    <col min="7434" max="7434" width="8.375" style="568" bestFit="1" customWidth="1"/>
    <col min="7435" max="7435" width="18.75" style="568" bestFit="1" customWidth="1"/>
    <col min="7436" max="7437" width="8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8" width="7.625" style="568" bestFit="1" customWidth="1"/>
    <col min="7689" max="7689" width="5" style="568" bestFit="1" customWidth="1"/>
    <col min="7690" max="7690" width="8.375" style="568" bestFit="1" customWidth="1"/>
    <col min="7691" max="7691" width="18.75" style="568" bestFit="1" customWidth="1"/>
    <col min="7692" max="7693" width="8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4" width="7.625" style="568" bestFit="1" customWidth="1"/>
    <col min="7945" max="7945" width="5" style="568" bestFit="1" customWidth="1"/>
    <col min="7946" max="7946" width="8.375" style="568" bestFit="1" customWidth="1"/>
    <col min="7947" max="7947" width="18.75" style="568" bestFit="1" customWidth="1"/>
    <col min="7948" max="7949" width="8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200" width="7.625" style="568" bestFit="1" customWidth="1"/>
    <col min="8201" max="8201" width="5" style="568" bestFit="1" customWidth="1"/>
    <col min="8202" max="8202" width="8.375" style="568" bestFit="1" customWidth="1"/>
    <col min="8203" max="8203" width="18.75" style="568" bestFit="1" customWidth="1"/>
    <col min="8204" max="8205" width="8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6" width="7.625" style="568" bestFit="1" customWidth="1"/>
    <col min="8457" max="8457" width="5" style="568" bestFit="1" customWidth="1"/>
    <col min="8458" max="8458" width="8.375" style="568" bestFit="1" customWidth="1"/>
    <col min="8459" max="8459" width="18.75" style="568" bestFit="1" customWidth="1"/>
    <col min="8460" max="8461" width="8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2" width="7.625" style="568" bestFit="1" customWidth="1"/>
    <col min="8713" max="8713" width="5" style="568" bestFit="1" customWidth="1"/>
    <col min="8714" max="8714" width="8.375" style="568" bestFit="1" customWidth="1"/>
    <col min="8715" max="8715" width="18.75" style="568" bestFit="1" customWidth="1"/>
    <col min="8716" max="8717" width="8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8" width="7.625" style="568" bestFit="1" customWidth="1"/>
    <col min="8969" max="8969" width="5" style="568" bestFit="1" customWidth="1"/>
    <col min="8970" max="8970" width="8.375" style="568" bestFit="1" customWidth="1"/>
    <col min="8971" max="8971" width="18.75" style="568" bestFit="1" customWidth="1"/>
    <col min="8972" max="8973" width="8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4" width="7.625" style="568" bestFit="1" customWidth="1"/>
    <col min="9225" max="9225" width="5" style="568" bestFit="1" customWidth="1"/>
    <col min="9226" max="9226" width="8.375" style="568" bestFit="1" customWidth="1"/>
    <col min="9227" max="9227" width="18.75" style="568" bestFit="1" customWidth="1"/>
    <col min="9228" max="9229" width="8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80" width="7.625" style="568" bestFit="1" customWidth="1"/>
    <col min="9481" max="9481" width="5" style="568" bestFit="1" customWidth="1"/>
    <col min="9482" max="9482" width="8.375" style="568" bestFit="1" customWidth="1"/>
    <col min="9483" max="9483" width="18.75" style="568" bestFit="1" customWidth="1"/>
    <col min="9484" max="9485" width="8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6" width="7.625" style="568" bestFit="1" customWidth="1"/>
    <col min="9737" max="9737" width="5" style="568" bestFit="1" customWidth="1"/>
    <col min="9738" max="9738" width="8.375" style="568" bestFit="1" customWidth="1"/>
    <col min="9739" max="9739" width="18.75" style="568" bestFit="1" customWidth="1"/>
    <col min="9740" max="9741" width="8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2" width="7.625" style="568" bestFit="1" customWidth="1"/>
    <col min="9993" max="9993" width="5" style="568" bestFit="1" customWidth="1"/>
    <col min="9994" max="9994" width="8.375" style="568" bestFit="1" customWidth="1"/>
    <col min="9995" max="9995" width="18.75" style="568" bestFit="1" customWidth="1"/>
    <col min="9996" max="9997" width="8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8" width="7.625" style="568" bestFit="1" customWidth="1"/>
    <col min="10249" max="10249" width="5" style="568" bestFit="1" customWidth="1"/>
    <col min="10250" max="10250" width="8.375" style="568" bestFit="1" customWidth="1"/>
    <col min="10251" max="10251" width="18.75" style="568" bestFit="1" customWidth="1"/>
    <col min="10252" max="10253" width="8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4" width="7.625" style="568" bestFit="1" customWidth="1"/>
    <col min="10505" max="10505" width="5" style="568" bestFit="1" customWidth="1"/>
    <col min="10506" max="10506" width="8.375" style="568" bestFit="1" customWidth="1"/>
    <col min="10507" max="10507" width="18.75" style="568" bestFit="1" customWidth="1"/>
    <col min="10508" max="10509" width="8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60" width="7.625" style="568" bestFit="1" customWidth="1"/>
    <col min="10761" max="10761" width="5" style="568" bestFit="1" customWidth="1"/>
    <col min="10762" max="10762" width="8.375" style="568" bestFit="1" customWidth="1"/>
    <col min="10763" max="10763" width="18.75" style="568" bestFit="1" customWidth="1"/>
    <col min="10764" max="10765" width="8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6" width="7.625" style="568" bestFit="1" customWidth="1"/>
    <col min="11017" max="11017" width="5" style="568" bestFit="1" customWidth="1"/>
    <col min="11018" max="11018" width="8.375" style="568" bestFit="1" customWidth="1"/>
    <col min="11019" max="11019" width="18.75" style="568" bestFit="1" customWidth="1"/>
    <col min="11020" max="11021" width="8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2" width="7.625" style="568" bestFit="1" customWidth="1"/>
    <col min="11273" max="11273" width="5" style="568" bestFit="1" customWidth="1"/>
    <col min="11274" max="11274" width="8.375" style="568" bestFit="1" customWidth="1"/>
    <col min="11275" max="11275" width="18.75" style="568" bestFit="1" customWidth="1"/>
    <col min="11276" max="11277" width="8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8" width="7.625" style="568" bestFit="1" customWidth="1"/>
    <col min="11529" max="11529" width="5" style="568" bestFit="1" customWidth="1"/>
    <col min="11530" max="11530" width="8.375" style="568" bestFit="1" customWidth="1"/>
    <col min="11531" max="11531" width="18.75" style="568" bestFit="1" customWidth="1"/>
    <col min="11532" max="11533" width="8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4" width="7.625" style="568" bestFit="1" customWidth="1"/>
    <col min="11785" max="11785" width="5" style="568" bestFit="1" customWidth="1"/>
    <col min="11786" max="11786" width="8.375" style="568" bestFit="1" customWidth="1"/>
    <col min="11787" max="11787" width="18.75" style="568" bestFit="1" customWidth="1"/>
    <col min="11788" max="11789" width="8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40" width="7.625" style="568" bestFit="1" customWidth="1"/>
    <col min="12041" max="12041" width="5" style="568" bestFit="1" customWidth="1"/>
    <col min="12042" max="12042" width="8.375" style="568" bestFit="1" customWidth="1"/>
    <col min="12043" max="12043" width="18.75" style="568" bestFit="1" customWidth="1"/>
    <col min="12044" max="12045" width="8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6" width="7.625" style="568" bestFit="1" customWidth="1"/>
    <col min="12297" max="12297" width="5" style="568" bestFit="1" customWidth="1"/>
    <col min="12298" max="12298" width="8.375" style="568" bestFit="1" customWidth="1"/>
    <col min="12299" max="12299" width="18.75" style="568" bestFit="1" customWidth="1"/>
    <col min="12300" max="12301" width="8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2" width="7.625" style="568" bestFit="1" customWidth="1"/>
    <col min="12553" max="12553" width="5" style="568" bestFit="1" customWidth="1"/>
    <col min="12554" max="12554" width="8.375" style="568" bestFit="1" customWidth="1"/>
    <col min="12555" max="12555" width="18.75" style="568" bestFit="1" customWidth="1"/>
    <col min="12556" max="12557" width="8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8" width="7.625" style="568" bestFit="1" customWidth="1"/>
    <col min="12809" max="12809" width="5" style="568" bestFit="1" customWidth="1"/>
    <col min="12810" max="12810" width="8.375" style="568" bestFit="1" customWidth="1"/>
    <col min="12811" max="12811" width="18.75" style="568" bestFit="1" customWidth="1"/>
    <col min="12812" max="12813" width="8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4" width="7.625" style="568" bestFit="1" customWidth="1"/>
    <col min="13065" max="13065" width="5" style="568" bestFit="1" customWidth="1"/>
    <col min="13066" max="13066" width="8.375" style="568" bestFit="1" customWidth="1"/>
    <col min="13067" max="13067" width="18.75" style="568" bestFit="1" customWidth="1"/>
    <col min="13068" max="13069" width="8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20" width="7.625" style="568" bestFit="1" customWidth="1"/>
    <col min="13321" max="13321" width="5" style="568" bestFit="1" customWidth="1"/>
    <col min="13322" max="13322" width="8.375" style="568" bestFit="1" customWidth="1"/>
    <col min="13323" max="13323" width="18.75" style="568" bestFit="1" customWidth="1"/>
    <col min="13324" max="13325" width="8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6" width="7.625" style="568" bestFit="1" customWidth="1"/>
    <col min="13577" max="13577" width="5" style="568" bestFit="1" customWidth="1"/>
    <col min="13578" max="13578" width="8.375" style="568" bestFit="1" customWidth="1"/>
    <col min="13579" max="13579" width="18.75" style="568" bestFit="1" customWidth="1"/>
    <col min="13580" max="13581" width="8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2" width="7.625" style="568" bestFit="1" customWidth="1"/>
    <col min="13833" max="13833" width="5" style="568" bestFit="1" customWidth="1"/>
    <col min="13834" max="13834" width="8.375" style="568" bestFit="1" customWidth="1"/>
    <col min="13835" max="13835" width="18.75" style="568" bestFit="1" customWidth="1"/>
    <col min="13836" max="13837" width="8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8" width="7.625" style="568" bestFit="1" customWidth="1"/>
    <col min="14089" max="14089" width="5" style="568" bestFit="1" customWidth="1"/>
    <col min="14090" max="14090" width="8.375" style="568" bestFit="1" customWidth="1"/>
    <col min="14091" max="14091" width="18.75" style="568" bestFit="1" customWidth="1"/>
    <col min="14092" max="14093" width="8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4" width="7.625" style="568" bestFit="1" customWidth="1"/>
    <col min="14345" max="14345" width="5" style="568" bestFit="1" customWidth="1"/>
    <col min="14346" max="14346" width="8.375" style="568" bestFit="1" customWidth="1"/>
    <col min="14347" max="14347" width="18.75" style="568" bestFit="1" customWidth="1"/>
    <col min="14348" max="14349" width="8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600" width="7.625" style="568" bestFit="1" customWidth="1"/>
    <col min="14601" max="14601" width="5" style="568" bestFit="1" customWidth="1"/>
    <col min="14602" max="14602" width="8.375" style="568" bestFit="1" customWidth="1"/>
    <col min="14603" max="14603" width="18.75" style="568" bestFit="1" customWidth="1"/>
    <col min="14604" max="14605" width="8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6" width="7.625" style="568" bestFit="1" customWidth="1"/>
    <col min="14857" max="14857" width="5" style="568" bestFit="1" customWidth="1"/>
    <col min="14858" max="14858" width="8.375" style="568" bestFit="1" customWidth="1"/>
    <col min="14859" max="14859" width="18.75" style="568" bestFit="1" customWidth="1"/>
    <col min="14860" max="14861" width="8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2" width="7.625" style="568" bestFit="1" customWidth="1"/>
    <col min="15113" max="15113" width="5" style="568" bestFit="1" customWidth="1"/>
    <col min="15114" max="15114" width="8.375" style="568" bestFit="1" customWidth="1"/>
    <col min="15115" max="15115" width="18.75" style="568" bestFit="1" customWidth="1"/>
    <col min="15116" max="15117" width="8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8" width="7.625" style="568" bestFit="1" customWidth="1"/>
    <col min="15369" max="15369" width="5" style="568" bestFit="1" customWidth="1"/>
    <col min="15370" max="15370" width="8.375" style="568" bestFit="1" customWidth="1"/>
    <col min="15371" max="15371" width="18.75" style="568" bestFit="1" customWidth="1"/>
    <col min="15372" max="15373" width="8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4" width="7.625" style="568" bestFit="1" customWidth="1"/>
    <col min="15625" max="15625" width="5" style="568" bestFit="1" customWidth="1"/>
    <col min="15626" max="15626" width="8.375" style="568" bestFit="1" customWidth="1"/>
    <col min="15627" max="15627" width="18.75" style="568" bestFit="1" customWidth="1"/>
    <col min="15628" max="15629" width="8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80" width="7.625" style="568" bestFit="1" customWidth="1"/>
    <col min="15881" max="15881" width="5" style="568" bestFit="1" customWidth="1"/>
    <col min="15882" max="15882" width="8.375" style="568" bestFit="1" customWidth="1"/>
    <col min="15883" max="15883" width="18.75" style="568" bestFit="1" customWidth="1"/>
    <col min="15884" max="15885" width="8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6" width="7.625" style="568" bestFit="1" customWidth="1"/>
    <col min="16137" max="16137" width="5" style="568" bestFit="1" customWidth="1"/>
    <col min="16138" max="16138" width="8.375" style="568" bestFit="1" customWidth="1"/>
    <col min="16139" max="16139" width="18.75" style="568" bestFit="1" customWidth="1"/>
    <col min="16140" max="16141" width="8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891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97</v>
      </c>
      <c r="J9" s="567" t="s">
        <v>1010</v>
      </c>
      <c r="K9" s="567" t="s">
        <v>1002</v>
      </c>
      <c r="L9" s="567" t="s">
        <v>1003</v>
      </c>
      <c r="M9" s="567" t="s">
        <v>1004</v>
      </c>
      <c r="N9" s="567" t="s">
        <v>1005</v>
      </c>
      <c r="O9" s="567" t="s">
        <v>1006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5.8101851851851849E-2</v>
      </c>
      <c r="E10" s="567">
        <v>40160</v>
      </c>
      <c r="F10" s="567" t="s">
        <v>1001</v>
      </c>
      <c r="G10" s="567" t="s">
        <v>326</v>
      </c>
      <c r="H10" s="567">
        <v>0</v>
      </c>
      <c r="I10" s="567">
        <v>97</v>
      </c>
      <c r="J10" s="567" t="s">
        <v>1010</v>
      </c>
      <c r="K10" s="567" t="s">
        <v>1002</v>
      </c>
      <c r="L10" s="567" t="s">
        <v>1003</v>
      </c>
      <c r="M10" s="567" t="s">
        <v>1004</v>
      </c>
      <c r="N10" s="567" t="s">
        <v>1005</v>
      </c>
      <c r="O10" s="567" t="s">
        <v>1006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6.1805555555555558E-2</v>
      </c>
      <c r="E11" s="567">
        <v>2560</v>
      </c>
      <c r="F11" s="567" t="s">
        <v>1001</v>
      </c>
      <c r="G11" s="567" t="s">
        <v>326</v>
      </c>
      <c r="H11" s="567">
        <v>0</v>
      </c>
      <c r="I11" s="567">
        <v>39</v>
      </c>
      <c r="J11" s="567" t="s">
        <v>327</v>
      </c>
      <c r="K11" s="567" t="s">
        <v>1002</v>
      </c>
      <c r="L11" s="567" t="s">
        <v>1003</v>
      </c>
      <c r="M11" s="567" t="s">
        <v>1004</v>
      </c>
      <c r="N11" s="567" t="s">
        <v>1011</v>
      </c>
      <c r="O11" s="567" t="s">
        <v>1012</v>
      </c>
      <c r="P11" s="567" t="s">
        <v>1007</v>
      </c>
      <c r="Q11" s="567" t="s">
        <v>1008</v>
      </c>
      <c r="R11" s="567">
        <v>80</v>
      </c>
    </row>
    <row r="12" spans="1:18" ht="15" x14ac:dyDescent="0.2">
      <c r="A12" s="567"/>
      <c r="B12" s="567"/>
      <c r="C12" s="567"/>
      <c r="D12" s="569">
        <v>8.4652777777777785E-2</v>
      </c>
      <c r="E12" s="567">
        <v>15792</v>
      </c>
      <c r="F12" s="567" t="s">
        <v>1001</v>
      </c>
      <c r="G12" s="567" t="s">
        <v>326</v>
      </c>
      <c r="H12" s="567">
        <v>0</v>
      </c>
      <c r="I12" s="567">
        <v>39</v>
      </c>
      <c r="J12" s="567" t="s">
        <v>327</v>
      </c>
      <c r="K12" s="567" t="s">
        <v>1002</v>
      </c>
      <c r="L12" s="567" t="s">
        <v>1003</v>
      </c>
      <c r="M12" s="567" t="s">
        <v>1004</v>
      </c>
      <c r="N12" s="567" t="s">
        <v>1011</v>
      </c>
      <c r="O12" s="567" t="s">
        <v>1012</v>
      </c>
      <c r="P12" s="567" t="s">
        <v>1009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8.6111111111111124E-2</v>
      </c>
      <c r="E13" s="567">
        <v>1008</v>
      </c>
      <c r="F13" s="567" t="s">
        <v>335</v>
      </c>
      <c r="G13" s="567">
        <v>0</v>
      </c>
      <c r="H13" s="567" t="s">
        <v>326</v>
      </c>
      <c r="I13" s="567" t="s">
        <v>336</v>
      </c>
      <c r="J13" s="567">
        <v>0</v>
      </c>
      <c r="K13" s="567" t="s">
        <v>337</v>
      </c>
      <c r="L13" s="567">
        <v>45</v>
      </c>
      <c r="M13" s="567">
        <v>1</v>
      </c>
    </row>
    <row r="14" spans="1:18" ht="15" x14ac:dyDescent="0.2">
      <c r="A14" s="567"/>
      <c r="B14" s="567"/>
      <c r="C14" s="567"/>
      <c r="D14" s="569">
        <v>8.9583333333333334E-2</v>
      </c>
      <c r="E14" s="567">
        <v>0</v>
      </c>
      <c r="F14" s="567" t="s">
        <v>1001</v>
      </c>
      <c r="G14" s="567" t="s">
        <v>326</v>
      </c>
      <c r="H14" s="567">
        <v>0</v>
      </c>
      <c r="I14" s="567">
        <v>401</v>
      </c>
      <c r="J14" s="567" t="s">
        <v>327</v>
      </c>
      <c r="K14" s="567" t="s">
        <v>1002</v>
      </c>
      <c r="L14" s="567" t="s">
        <v>1003</v>
      </c>
      <c r="M14" s="567" t="s">
        <v>1004</v>
      </c>
      <c r="N14" s="567" t="s">
        <v>1011</v>
      </c>
      <c r="O14" s="567" t="s">
        <v>1012</v>
      </c>
      <c r="P14" s="567" t="s">
        <v>1007</v>
      </c>
      <c r="Q14" s="567" t="s">
        <v>1008</v>
      </c>
      <c r="R14" s="567">
        <v>80</v>
      </c>
    </row>
    <row r="15" spans="1:18" ht="15" x14ac:dyDescent="0.2">
      <c r="A15" s="567"/>
      <c r="B15" s="567"/>
      <c r="C15" s="567"/>
      <c r="D15" s="569">
        <v>0.20577546296296298</v>
      </c>
      <c r="E15" s="567">
        <v>80312</v>
      </c>
      <c r="F15" s="567" t="s">
        <v>1001</v>
      </c>
      <c r="G15" s="567" t="s">
        <v>326</v>
      </c>
      <c r="H15" s="567">
        <v>0</v>
      </c>
      <c r="I15" s="567">
        <v>401</v>
      </c>
      <c r="J15" s="567" t="s">
        <v>327</v>
      </c>
      <c r="K15" s="567" t="s">
        <v>1002</v>
      </c>
      <c r="L15" s="567" t="s">
        <v>1003</v>
      </c>
      <c r="M15" s="567" t="s">
        <v>1004</v>
      </c>
      <c r="N15" s="567" t="s">
        <v>1011</v>
      </c>
      <c r="O15" s="567" t="s">
        <v>1012</v>
      </c>
      <c r="P15" s="567" t="s">
        <v>1009</v>
      </c>
      <c r="Q15" s="567" t="s">
        <v>1008</v>
      </c>
      <c r="R15" s="567">
        <v>80</v>
      </c>
    </row>
    <row r="16" spans="1:18" ht="15" x14ac:dyDescent="0.2">
      <c r="A16" s="567"/>
      <c r="B16" s="567"/>
      <c r="C16" s="567"/>
      <c r="D16" s="569">
        <v>0.20577546296296298</v>
      </c>
      <c r="E16" s="567">
        <v>0</v>
      </c>
      <c r="F16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1"/>
  <sheetViews>
    <sheetView topLeftCell="A4" zoomScale="85" zoomScaleNormal="85" workbookViewId="0">
      <pane ySplit="3" topLeftCell="A7" activePane="bottomLeft" state="frozen"/>
      <selection activeCell="A4" sqref="A4"/>
      <selection pane="bottomLeft" activeCell="A7" sqref="A7"/>
    </sheetView>
  </sheetViews>
  <sheetFormatPr defaultColWidth="11.375" defaultRowHeight="15" x14ac:dyDescent="0.2"/>
  <cols>
    <col min="1" max="1" width="5.125" style="14" bestFit="1" customWidth="1"/>
    <col min="2" max="2" width="6.375" style="14" bestFit="1" customWidth="1"/>
    <col min="3" max="3" width="46" style="14" bestFit="1" customWidth="1"/>
    <col min="4" max="14" width="16" style="14" customWidth="1"/>
    <col min="15" max="15" width="17.875" style="14" customWidth="1"/>
    <col min="16" max="16" width="18.375" style="14" bestFit="1" customWidth="1"/>
    <col min="17" max="17" width="21.375" style="14" customWidth="1"/>
    <col min="18" max="18" width="41.375" style="14" bestFit="1" customWidth="1"/>
    <col min="19" max="19" width="12.625" style="14" customWidth="1"/>
    <col min="20" max="20" width="15.375" style="14" bestFit="1" customWidth="1"/>
    <col min="21" max="21" width="7.125" style="14" customWidth="1"/>
    <col min="22" max="16384" width="11.375" style="14"/>
  </cols>
  <sheetData>
    <row r="1" spans="1:24" x14ac:dyDescent="0.2">
      <c r="J1" s="64"/>
      <c r="K1" s="64"/>
      <c r="P1" s="144"/>
    </row>
    <row r="2" spans="1:24" x14ac:dyDescent="0.2">
      <c r="D2" s="145"/>
      <c r="G2" s="67"/>
      <c r="H2" s="67"/>
      <c r="I2" s="67"/>
      <c r="J2" s="65"/>
      <c r="K2" s="146"/>
      <c r="L2" s="145"/>
      <c r="M2" s="49"/>
      <c r="N2" s="49"/>
      <c r="P2" s="144"/>
      <c r="Q2" s="15" t="s">
        <v>36</v>
      </c>
      <c r="R2" s="14">
        <v>750</v>
      </c>
    </row>
    <row r="3" spans="1:24" x14ac:dyDescent="0.2">
      <c r="J3" s="64"/>
      <c r="K3" s="64"/>
      <c r="P3" s="144"/>
    </row>
    <row r="4" spans="1:24" ht="15.75" thickBot="1" x14ac:dyDescent="0.25">
      <c r="P4" s="144"/>
    </row>
    <row r="5" spans="1:24" ht="21.6" customHeight="1" x14ac:dyDescent="0.2">
      <c r="C5" s="607" t="s">
        <v>17</v>
      </c>
      <c r="D5" s="612" t="s">
        <v>18</v>
      </c>
      <c r="E5" s="604"/>
      <c r="F5" s="604"/>
      <c r="G5" s="594"/>
      <c r="H5" s="613" t="s">
        <v>19</v>
      </c>
      <c r="I5" s="594"/>
      <c r="J5" s="612" t="s">
        <v>20</v>
      </c>
      <c r="K5" s="604"/>
      <c r="L5" s="604"/>
      <c r="M5" s="594"/>
      <c r="N5" s="607" t="s">
        <v>227</v>
      </c>
      <c r="O5" s="608" t="s">
        <v>228</v>
      </c>
      <c r="P5" s="607" t="s">
        <v>229</v>
      </c>
      <c r="Q5" s="608" t="s">
        <v>230</v>
      </c>
      <c r="R5" s="608" t="s">
        <v>37</v>
      </c>
      <c r="S5" s="609" t="s">
        <v>231</v>
      </c>
      <c r="T5" s="610"/>
    </row>
    <row r="6" spans="1:24" ht="30.75" thickBot="1" x14ac:dyDescent="0.25">
      <c r="C6" s="611"/>
      <c r="D6" s="147" t="s">
        <v>25</v>
      </c>
      <c r="E6" s="148" t="s">
        <v>26</v>
      </c>
      <c r="F6" s="149" t="s">
        <v>27</v>
      </c>
      <c r="G6" s="150" t="s">
        <v>28</v>
      </c>
      <c r="H6" s="151" t="s">
        <v>232</v>
      </c>
      <c r="I6" s="152" t="s">
        <v>233</v>
      </c>
      <c r="J6" s="147" t="s">
        <v>25</v>
      </c>
      <c r="K6" s="148" t="s">
        <v>26</v>
      </c>
      <c r="L6" s="149" t="s">
        <v>27</v>
      </c>
      <c r="M6" s="150" t="s">
        <v>28</v>
      </c>
      <c r="N6" s="588"/>
      <c r="O6" s="590"/>
      <c r="P6" s="588"/>
      <c r="Q6" s="590"/>
      <c r="R6" s="590"/>
      <c r="S6" s="151" t="s">
        <v>234</v>
      </c>
      <c r="T6" s="153" t="s">
        <v>235</v>
      </c>
    </row>
    <row r="7" spans="1:24" x14ac:dyDescent="0.2">
      <c r="C7" s="154"/>
      <c r="D7" s="155"/>
      <c r="E7" s="156"/>
      <c r="F7" s="156"/>
      <c r="G7" s="157"/>
      <c r="H7" s="390"/>
      <c r="I7" s="391"/>
      <c r="J7" s="158"/>
      <c r="K7" s="156"/>
      <c r="L7" s="156"/>
      <c r="M7" s="159"/>
      <c r="N7" s="154"/>
      <c r="O7" s="366"/>
      <c r="P7" s="154"/>
      <c r="Q7" s="160"/>
      <c r="R7" s="160"/>
      <c r="S7" s="406"/>
      <c r="T7" s="407"/>
    </row>
    <row r="8" spans="1:24" x14ac:dyDescent="0.2">
      <c r="B8" s="21"/>
      <c r="C8" s="34" t="s">
        <v>361</v>
      </c>
      <c r="D8" s="35">
        <f t="shared" ref="D8:D39" si="0">DATE(E8,1,F8)</f>
        <v>42697</v>
      </c>
      <c r="E8" s="36">
        <v>2016</v>
      </c>
      <c r="F8" s="36">
        <v>328</v>
      </c>
      <c r="G8" s="161">
        <v>0.23819444444444446</v>
      </c>
      <c r="H8" s="162"/>
      <c r="I8" s="163"/>
      <c r="J8" s="164"/>
      <c r="K8" s="165"/>
      <c r="L8" s="165"/>
      <c r="M8" s="166"/>
      <c r="N8" s="167"/>
      <c r="O8" s="168"/>
      <c r="P8" s="169"/>
      <c r="Q8" s="170"/>
      <c r="R8" s="170"/>
      <c r="S8" s="408"/>
      <c r="T8" s="409"/>
    </row>
    <row r="9" spans="1:24" x14ac:dyDescent="0.2">
      <c r="A9" s="21"/>
      <c r="B9" s="21"/>
      <c r="C9" s="45" t="s">
        <v>364</v>
      </c>
      <c r="D9" s="35">
        <f t="shared" si="0"/>
        <v>42697</v>
      </c>
      <c r="E9" s="36">
        <v>2016</v>
      </c>
      <c r="F9" s="36">
        <v>328</v>
      </c>
      <c r="G9" s="161">
        <v>0.241666666666667</v>
      </c>
      <c r="H9" s="392">
        <v>0</v>
      </c>
      <c r="I9" s="393">
        <v>0</v>
      </c>
      <c r="J9" s="164">
        <f t="shared" ref="J9:J40" si="1">DATE(K9,1,L9)</f>
        <v>42697</v>
      </c>
      <c r="K9" s="36">
        <v>2016</v>
      </c>
      <c r="L9" s="36">
        <v>328</v>
      </c>
      <c r="M9" s="37">
        <v>0.243055555555556</v>
      </c>
      <c r="N9" s="367">
        <v>0</v>
      </c>
      <c r="O9" s="367" t="str">
        <f>IF(VALUE(LEFT($R9,3))&lt;192,"",IF(VALUE(LEFT($R9,3))&gt;597,"",VLOOKUP(VALUE(LEFT($R9,3)),'CIRS Table Info'!$B$6:$J$425,2,FALSE)))</f>
        <v/>
      </c>
      <c r="P9" s="367" t="str">
        <f>IF(MID(R9,5,3)="",IF(VALUE(LEFT($R9,3))&lt;192,"",IF(VALUE(LEFT($R9,3))&gt;597,"",CONCATENATE(VLOOKUP(VALUE(LEFT($R9,3)),'CIRS Table Info'!$B$6:$J$425,6,FALSE),"/",VLOOKUP(VALUE(LEFT($R9,3)),'CIRS Table Info'!$B$6:$J$425,8,FALSE),IF(VLOOKUP(VALUE(LEFT($R9,3)),'CIRS Table Info'!$B$6:$J$425,9,FALSE)="Closed","/CLOSED","")))),IF(VALUE(MID($R9,5,3))&lt;192,"",IF(VALUE(MID($R9,5,3))&gt;597,"",CONCATENATE(VLOOKUP(VALUE(MID($R9,5,3)),'CIRS Table Info'!$B$6:$J$425,6,FALSE),"/",VLOOKUP(VALUE(MID($R9,5,3)),'CIRS Table Info'!$B$6:$J$425,8,FALSE),IF(VLOOKUP(VALUE(MID($R9,5,3)),'CIRS Table Info'!$B$6:$J$425,9,FALSE)="Closed","/CLOSED","")))))</f>
        <v/>
      </c>
      <c r="Q9" s="171"/>
      <c r="R9" s="172" t="str">
        <f>VLOOKUP($C9,'CIRS Table IDs'!$B:$P,14,FALSE)</f>
        <v>60</v>
      </c>
      <c r="S9" s="410">
        <v>829.36669900000004</v>
      </c>
      <c r="T9" s="411">
        <v>99.761903000000004</v>
      </c>
      <c r="W9" s="49"/>
      <c r="X9" s="49"/>
    </row>
    <row r="10" spans="1:24" x14ac:dyDescent="0.2">
      <c r="A10" s="21"/>
      <c r="B10" s="21">
        <v>1</v>
      </c>
      <c r="C10" s="45" t="s">
        <v>365</v>
      </c>
      <c r="D10" s="35">
        <f t="shared" si="0"/>
        <v>42697</v>
      </c>
      <c r="E10" s="36">
        <v>2016</v>
      </c>
      <c r="F10" s="36">
        <v>328</v>
      </c>
      <c r="G10" s="161">
        <v>0.33263888888888898</v>
      </c>
      <c r="H10" s="392">
        <v>0.91666666666666696</v>
      </c>
      <c r="I10" s="393">
        <v>0</v>
      </c>
      <c r="J10" s="164">
        <f t="shared" si="1"/>
        <v>42698</v>
      </c>
      <c r="K10" s="36">
        <v>2016</v>
      </c>
      <c r="L10" s="36">
        <v>329</v>
      </c>
      <c r="M10" s="37">
        <v>0.249305555555556</v>
      </c>
      <c r="N10" s="499" t="s">
        <v>307</v>
      </c>
      <c r="O10" s="367">
        <f>IF(VALUE(LEFT($R10,3))&lt;192,"",IF(VALUE(LEFT($R10,3))&gt;597,"",VLOOKUP(VALUE(LEFT($R10,3)),'CIRS Table Info'!$B$6:$J$425,2,FALSE)))</f>
        <v>2.85</v>
      </c>
      <c r="P10" s="497" t="str">
        <f>IF(MID(R10,5,3)="",IF(VALUE(LEFT($R10,3))&lt;192,"",IF(VALUE(LEFT($R10,3))&gt;597,"",CONCATENATE(VLOOKUP(VALUE(LEFT($R10,3)),'CIRS Table Info'!$B$6:$J$425,6,FALSE),"/",VLOOKUP(VALUE(LEFT($R10,3)),'CIRS Table Info'!$B$6:$J$425,8,FALSE),IF(VLOOKUP(VALUE(LEFT($R10,3)),'CIRS Table Info'!$B$6:$J$425,9,FALSE)="Closed","/CLOSED","")))),IF(VALUE(MID($R10,5,3))&lt;192,"",IF(VALUE(MID($R10,5,3))&gt;597,"",CONCATENATE(VLOOKUP(VALUE(MID($R10,5,3)),'CIRS Table Info'!$B$6:$J$425,6,FALSE),"/",VLOOKUP(VALUE(MID($R10,5,3)),'CIRS Table Info'!$B$6:$J$425,8,FALSE),IF(VLOOKUP(VALUE(MID($R10,5,3)),'CIRS Table Info'!$B$6:$J$425,9,FALSE)="Closed","/CLOSED","")))))</f>
        <v>Pairs/Pairs</v>
      </c>
      <c r="Q10" s="171"/>
      <c r="R10" s="172" t="str">
        <f>VLOOKUP($C10,'CIRS Table IDs'!$B:$P,14,FALSE)</f>
        <v>235,232,235</v>
      </c>
      <c r="S10" s="410">
        <v>1687.573975</v>
      </c>
      <c r="T10" s="411">
        <v>66.395157999999995</v>
      </c>
      <c r="W10" s="49"/>
      <c r="X10" s="49"/>
    </row>
    <row r="11" spans="1:24" x14ac:dyDescent="0.2">
      <c r="A11" s="21"/>
      <c r="B11" s="21">
        <v>2</v>
      </c>
      <c r="C11" s="45" t="s">
        <v>369</v>
      </c>
      <c r="D11" s="35">
        <f t="shared" si="0"/>
        <v>42698</v>
      </c>
      <c r="E11" s="36">
        <v>2016</v>
      </c>
      <c r="F11" s="36">
        <v>329</v>
      </c>
      <c r="G11" s="161">
        <v>0.42361111111111099</v>
      </c>
      <c r="H11" s="392">
        <v>0.34930555555555598</v>
      </c>
      <c r="I11" s="393">
        <v>0</v>
      </c>
      <c r="J11" s="164">
        <f t="shared" si="1"/>
        <v>42698</v>
      </c>
      <c r="K11" s="36">
        <v>2016</v>
      </c>
      <c r="L11" s="36">
        <v>329</v>
      </c>
      <c r="M11" s="37">
        <v>0.77291666666666703</v>
      </c>
      <c r="N11" s="499" t="s">
        <v>308</v>
      </c>
      <c r="O11" s="367">
        <f>IF(VALUE(LEFT($R11,3))&lt;192,"",IF(VALUE(LEFT($R11,3))&gt;597,"",VLOOKUP(VALUE(LEFT($R11,3)),'CIRS Table Info'!$B$6:$J$425,2,FALSE)))</f>
        <v>2.85</v>
      </c>
      <c r="P11" s="497" t="str">
        <f>IF(MID(R11,5,3)="",IF(VALUE(LEFT($R11,3))&lt;192,"",IF(VALUE(LEFT($R11,3))&gt;597,"",CONCATENATE(VLOOKUP(VALUE(LEFT($R11,3)),'CIRS Table Info'!$B$6:$J$425,6,FALSE),"/",VLOOKUP(VALUE(LEFT($R11,3)),'CIRS Table Info'!$B$6:$J$425,8,FALSE),IF(VLOOKUP(VALUE(LEFT($R11,3)),'CIRS Table Info'!$B$6:$J$425,9,FALSE)="Closed","/CLOSED","")))),IF(VALUE(MID($R11,5,3))&lt;192,"",IF(VALUE(MID($R11,5,3))&gt;597,"",CONCATENATE(VLOOKUP(VALUE(MID($R11,5,3)),'CIRS Table Info'!$B$6:$J$425,6,FALSE),"/",VLOOKUP(VALUE(MID($R11,5,3)),'CIRS Table Info'!$B$6:$J$425,8,FALSE),IF(VLOOKUP(VALUE(MID($R11,5,3)),'CIRS Table Info'!$B$6:$J$425,9,FALSE)="Closed","/CLOSED","")))))</f>
        <v>Pairs/Pairs</v>
      </c>
      <c r="Q11" s="171"/>
      <c r="R11" s="172">
        <f>VLOOKUP($C11,'CIRS Table IDs'!$B:$P,14,FALSE)</f>
        <v>572</v>
      </c>
      <c r="S11" s="410">
        <v>1129.5280760000001</v>
      </c>
      <c r="T11" s="411">
        <v>100</v>
      </c>
    </row>
    <row r="12" spans="1:24" x14ac:dyDescent="0.2">
      <c r="A12" s="477">
        <v>1</v>
      </c>
      <c r="B12" s="477">
        <v>3</v>
      </c>
      <c r="C12" s="478" t="s">
        <v>371</v>
      </c>
      <c r="D12" s="479">
        <f t="shared" si="0"/>
        <v>42698</v>
      </c>
      <c r="E12" s="480">
        <v>2016</v>
      </c>
      <c r="F12" s="480">
        <v>329</v>
      </c>
      <c r="G12" s="481">
        <v>0.90486111111111101</v>
      </c>
      <c r="H12" s="482">
        <v>0.25</v>
      </c>
      <c r="I12" s="483">
        <v>8.3333333333333301E-2</v>
      </c>
      <c r="J12" s="484">
        <f t="shared" si="1"/>
        <v>42699</v>
      </c>
      <c r="K12" s="480">
        <v>2016</v>
      </c>
      <c r="L12" s="480">
        <v>330</v>
      </c>
      <c r="M12" s="485">
        <v>0.23819444444444399</v>
      </c>
      <c r="N12" s="501">
        <v>3000</v>
      </c>
      <c r="O12" s="486" t="str">
        <f>IF(VALUE(LEFT($R12,3))&lt;192,"",IF(VALUE(LEFT($R12,3))&gt;597,"",VLOOKUP(VALUE(LEFT($R12,3)),'CIRS Table Info'!$B$6:$J$425,2,FALSE)))</f>
        <v/>
      </c>
      <c r="P12" s="498" t="str">
        <f>IF(MID(R12,5,3)="",IF(VALUE(LEFT($R12,3))&lt;192,"",IF(VALUE(LEFT($R12,3))&gt;597,"",CONCATENATE(VLOOKUP(VALUE(LEFT($R12,3)),'CIRS Table Info'!$B$6:$J$425,6,FALSE),"/",VLOOKUP(VALUE(LEFT($R12,3)),'CIRS Table Info'!$B$6:$J$425,8,FALSE),IF(VLOOKUP(VALUE(LEFT($R12,3)),'CIRS Table Info'!$B$6:$J$425,9,FALSE)="Closed","/CLOSED","")))),IF(VALUE(MID($R12,5,3))&lt;192,"",IF(VALUE(MID($R12,5,3))&gt;597,"",CONCATENATE(VLOOKUP(VALUE(MID($R12,5,3)),'CIRS Table Info'!$B$6:$J$425,6,FALSE),"/",VLOOKUP(VALUE(MID($R12,5,3)),'CIRS Table Info'!$B$6:$J$425,8,FALSE),IF(VLOOKUP(VALUE(MID($R12,5,3)),'CIRS Table Info'!$B$6:$J$425,9,FALSE)="Closed","/CLOSED","")))))</f>
        <v/>
      </c>
      <c r="Q12" s="487"/>
      <c r="R12" s="488">
        <f>VLOOKUP($C12,'CIRS Table IDs'!$B:$P,14,FALSE)</f>
        <v>752</v>
      </c>
      <c r="S12" s="489">
        <v>860.94720500000005</v>
      </c>
      <c r="T12" s="490">
        <v>100</v>
      </c>
      <c r="V12" s="49"/>
      <c r="W12" s="49"/>
      <c r="X12" s="49"/>
    </row>
    <row r="13" spans="1:24" x14ac:dyDescent="0.2">
      <c r="A13" s="21"/>
      <c r="B13" s="21">
        <v>4</v>
      </c>
      <c r="C13" s="45" t="s">
        <v>372</v>
      </c>
      <c r="D13" s="35">
        <f t="shared" si="0"/>
        <v>42699</v>
      </c>
      <c r="E13" s="36">
        <v>2016</v>
      </c>
      <c r="F13" s="36">
        <v>330</v>
      </c>
      <c r="G13" s="161">
        <v>0.64097222222222205</v>
      </c>
      <c r="H13" s="392">
        <v>0.131944444444444</v>
      </c>
      <c r="I13" s="393">
        <v>0</v>
      </c>
      <c r="J13" s="164">
        <f t="shared" si="1"/>
        <v>42699</v>
      </c>
      <c r="K13" s="36">
        <v>2016</v>
      </c>
      <c r="L13" s="36">
        <v>330</v>
      </c>
      <c r="M13" s="37">
        <v>0.77291666666666703</v>
      </c>
      <c r="N13" s="499" t="s">
        <v>308</v>
      </c>
      <c r="O13" s="367">
        <f>IF(VALUE(LEFT($R13,3))&lt;192,"",IF(VALUE(LEFT($R13,3))&gt;597,"",VLOOKUP(VALUE(LEFT($R13,3)),'CIRS Table Info'!$B$6:$J$425,2,FALSE)))</f>
        <v>2.85</v>
      </c>
      <c r="P13" s="497" t="str">
        <f>IF(MID(R13,5,3)="",IF(VALUE(LEFT($R13,3))&lt;192,"",IF(VALUE(LEFT($R13,3))&gt;597,"",CONCATENATE(VLOOKUP(VALUE(LEFT($R13,3)),'CIRS Table Info'!$B$6:$J$425,6,FALSE),"/",VLOOKUP(VALUE(LEFT($R13,3)),'CIRS Table Info'!$B$6:$J$425,8,FALSE),IF(VLOOKUP(VALUE(LEFT($R13,3)),'CIRS Table Info'!$B$6:$J$425,9,FALSE)="Closed","/CLOSED","")))),IF(VALUE(MID($R13,5,3))&lt;192,"",IF(VALUE(MID($R13,5,3))&gt;597,"",CONCATENATE(VLOOKUP(VALUE(MID($R13,5,3)),'CIRS Table Info'!$B$6:$J$425,6,FALSE),"/",VLOOKUP(VALUE(MID($R13,5,3)),'CIRS Table Info'!$B$6:$J$425,8,FALSE),IF(VLOOKUP(VALUE(MID($R13,5,3)),'CIRS Table Info'!$B$6:$J$425,9,FALSE)="Closed","/CLOSED","")))))</f>
        <v>Pairs/Pairs</v>
      </c>
      <c r="Q13" s="171"/>
      <c r="R13" s="172">
        <f>VLOOKUP($C13,'CIRS Table IDs'!$B:$P,14,FALSE)</f>
        <v>472</v>
      </c>
      <c r="S13" s="410">
        <v>1083.656616</v>
      </c>
      <c r="T13" s="411">
        <v>76.618647999999993</v>
      </c>
    </row>
    <row r="14" spans="1:24" x14ac:dyDescent="0.2">
      <c r="A14" s="477">
        <v>2</v>
      </c>
      <c r="B14" s="477">
        <v>5</v>
      </c>
      <c r="C14" s="478" t="s">
        <v>373</v>
      </c>
      <c r="D14" s="479">
        <f t="shared" si="0"/>
        <v>42699</v>
      </c>
      <c r="E14" s="480">
        <v>2016</v>
      </c>
      <c r="F14" s="480">
        <v>330</v>
      </c>
      <c r="G14" s="481">
        <v>0.90486111111111101</v>
      </c>
      <c r="H14" s="482">
        <v>0.25</v>
      </c>
      <c r="I14" s="483">
        <v>8.3333333333333301E-2</v>
      </c>
      <c r="J14" s="484">
        <f t="shared" si="1"/>
        <v>42700</v>
      </c>
      <c r="K14" s="480">
        <v>2016</v>
      </c>
      <c r="L14" s="480">
        <v>331</v>
      </c>
      <c r="M14" s="485">
        <v>0.23819444444444399</v>
      </c>
      <c r="N14" s="501">
        <v>3000</v>
      </c>
      <c r="O14" s="486" t="str">
        <f>IF(VALUE(LEFT($R14,3))&lt;192,"",IF(VALUE(LEFT($R14,3))&gt;597,"",VLOOKUP(VALUE(LEFT($R14,3)),'CIRS Table Info'!$B$6:$J$425,2,FALSE)))</f>
        <v/>
      </c>
      <c r="P14" s="498" t="str">
        <f>IF(MID(R14,5,3)="",IF(VALUE(LEFT($R14,3))&lt;192,"",IF(VALUE(LEFT($R14,3))&gt;597,"",CONCATENATE(VLOOKUP(VALUE(LEFT($R14,3)),'CIRS Table Info'!$B$6:$J$425,6,FALSE),"/",VLOOKUP(VALUE(LEFT($R14,3)),'CIRS Table Info'!$B$6:$J$425,8,FALSE),IF(VLOOKUP(VALUE(LEFT($R14,3)),'CIRS Table Info'!$B$6:$J$425,9,FALSE)="Closed","/CLOSED","")))),IF(VALUE(MID($R14,5,3))&lt;192,"",IF(VALUE(MID($R14,5,3))&gt;597,"",CONCATENATE(VLOOKUP(VALUE(MID($R14,5,3)),'CIRS Table Info'!$B$6:$J$425,6,FALSE),"/",VLOOKUP(VALUE(MID($R14,5,3)),'CIRS Table Info'!$B$6:$J$425,8,FALSE),IF(VLOOKUP(VALUE(MID($R14,5,3)),'CIRS Table Info'!$B$6:$J$425,9,FALSE)="Closed","/CLOSED","")))))</f>
        <v/>
      </c>
      <c r="Q14" s="487"/>
      <c r="R14" s="488">
        <f>VLOOKUP($C14,'CIRS Table IDs'!$B:$P,14,FALSE)</f>
        <v>754</v>
      </c>
      <c r="S14" s="489">
        <v>1075.571533</v>
      </c>
      <c r="T14" s="490">
        <v>100</v>
      </c>
      <c r="W14" s="49"/>
      <c r="X14" s="49"/>
    </row>
    <row r="15" spans="1:24" ht="15.75" x14ac:dyDescent="0.25">
      <c r="A15" s="526"/>
      <c r="B15" s="526">
        <v>6</v>
      </c>
      <c r="C15" s="527" t="s">
        <v>374</v>
      </c>
      <c r="D15" s="528">
        <f t="shared" si="0"/>
        <v>42700</v>
      </c>
      <c r="E15" s="529">
        <v>2016</v>
      </c>
      <c r="F15" s="529">
        <v>331</v>
      </c>
      <c r="G15" s="530">
        <v>0.36319444444444399</v>
      </c>
      <c r="H15" s="531">
        <v>0.47013888888888899</v>
      </c>
      <c r="I15" s="532">
        <v>0</v>
      </c>
      <c r="J15" s="533">
        <f t="shared" si="1"/>
        <v>42700</v>
      </c>
      <c r="K15" s="529">
        <v>2016</v>
      </c>
      <c r="L15" s="529">
        <v>331</v>
      </c>
      <c r="M15" s="534">
        <v>0.83333333333333304</v>
      </c>
      <c r="N15" s="535" t="s">
        <v>307</v>
      </c>
      <c r="O15" s="536">
        <f>IF(VALUE(LEFT($R15,3))&lt;192,"",IF(VALUE(LEFT($R15,3))&gt;597,"",VLOOKUP(VALUE(LEFT($R15,3)),'CIRS Table Info'!$B$6:$J$425,2,FALSE)))</f>
        <v>15.67</v>
      </c>
      <c r="P15" s="537" t="str">
        <f>IF(MID(R15,5,3)="",IF(VALUE(LEFT($R15,3))&lt;192,"",IF(VALUE(LEFT($R15,3))&gt;597,"",CONCATENATE(VLOOKUP(VALUE(LEFT($R15,3)),'CIRS Table Info'!$B$6:$J$425,6,FALSE),"/",VLOOKUP(VALUE(LEFT($R15,3)),'CIRS Table Info'!$B$6:$J$425,8,FALSE),IF(VLOOKUP(VALUE(LEFT($R15,3)),'CIRS Table Info'!$B$6:$J$425,9,FALSE)="Closed","/CLOSED","")))),IF(VALUE(MID($R15,5,3))&lt;192,"",IF(VALUE(MID($R15,5,3))&gt;597,"",CONCATENATE(VLOOKUP(VALUE(MID($R15,5,3)),'CIRS Table Info'!$B$6:$J$425,6,FALSE),"/",VLOOKUP(VALUE(MID($R15,5,3)),'CIRS Table Info'!$B$6:$J$425,8,FALSE),IF(VLOOKUP(VALUE(MID($R15,5,3)),'CIRS Table Info'!$B$6:$J$425,9,FALSE)="Closed","/CLOSED","")))))</f>
        <v>Centers/Centers</v>
      </c>
      <c r="Q15" s="538"/>
      <c r="R15" s="539" t="str">
        <f>VLOOKUP($C15,'CIRS Table IDs'!$B:$P,14,FALSE)</f>
        <v>209,206,209,206,209,206,209,206,209</v>
      </c>
      <c r="S15" s="540">
        <v>1643.262939</v>
      </c>
      <c r="T15" s="411">
        <v>24.525321000000002</v>
      </c>
      <c r="V15" s="49"/>
      <c r="W15" s="49"/>
    </row>
    <row r="16" spans="1:24" x14ac:dyDescent="0.2">
      <c r="A16" s="21"/>
      <c r="B16" s="21">
        <v>7</v>
      </c>
      <c r="C16" s="45" t="s">
        <v>378</v>
      </c>
      <c r="D16" s="35">
        <f t="shared" si="0"/>
        <v>42700</v>
      </c>
      <c r="E16" s="36">
        <v>2016</v>
      </c>
      <c r="F16" s="36">
        <v>331</v>
      </c>
      <c r="G16" s="161">
        <v>0.83333333333333304</v>
      </c>
      <c r="H16" s="392">
        <v>0.104166666666667</v>
      </c>
      <c r="I16" s="393">
        <v>0</v>
      </c>
      <c r="J16" s="164">
        <f t="shared" si="1"/>
        <v>42700</v>
      </c>
      <c r="K16" s="36">
        <v>2016</v>
      </c>
      <c r="L16" s="36">
        <v>331</v>
      </c>
      <c r="M16" s="37">
        <v>0.9375</v>
      </c>
      <c r="N16" s="499" t="s">
        <v>307</v>
      </c>
      <c r="O16" s="367">
        <f>IF(VALUE(LEFT($R16,3))&lt;192,"",IF(VALUE(LEFT($R16,3))&gt;597,"",VLOOKUP(VALUE(LEFT($R16,3)),'CIRS Table Info'!$B$6:$J$425,2,FALSE)))</f>
        <v>15.67</v>
      </c>
      <c r="P16" s="497" t="str">
        <f>IF(MID(R16,5,3)="",IF(VALUE(LEFT($R16,3))&lt;192,"",IF(VALUE(LEFT($R16,3))&gt;597,"",CONCATENATE(VLOOKUP(VALUE(LEFT($R16,3)),'CIRS Table Info'!$B$6:$J$425,6,FALSE),"/",VLOOKUP(VALUE(LEFT($R16,3)),'CIRS Table Info'!$B$6:$J$425,8,FALSE),IF(VLOOKUP(VALUE(LEFT($R16,3)),'CIRS Table Info'!$B$6:$J$425,9,FALSE)="Closed","/CLOSED","")))),IF(VALUE(MID($R16,5,3))&lt;192,"",IF(VALUE(MID($R16,5,3))&gt;597,"",CONCATENATE(VLOOKUP(VALUE(MID($R16,5,3)),'CIRS Table Info'!$B$6:$J$425,6,FALSE),"/",VLOOKUP(VALUE(MID($R16,5,3)),'CIRS Table Info'!$B$6:$J$425,8,FALSE),IF(VLOOKUP(VALUE(MID($R16,5,3)),'CIRS Table Info'!$B$6:$J$425,9,FALSE)="Closed","/CLOSED","")))))</f>
        <v>Blink/Blink</v>
      </c>
      <c r="Q16" s="171"/>
      <c r="R16" s="172">
        <f>VLOOKUP($C16,'CIRS Table IDs'!$B:$P,14,FALSE)</f>
        <v>405</v>
      </c>
      <c r="S16" s="410">
        <v>1738.4614260000001</v>
      </c>
      <c r="T16" s="411">
        <v>95.416498000000004</v>
      </c>
      <c r="W16" s="49"/>
      <c r="X16" s="49"/>
    </row>
    <row r="17" spans="1:24" x14ac:dyDescent="0.2">
      <c r="A17" s="21"/>
      <c r="B17" s="21">
        <v>8</v>
      </c>
      <c r="C17" s="45" t="s">
        <v>379</v>
      </c>
      <c r="D17" s="35">
        <f t="shared" si="0"/>
        <v>42700</v>
      </c>
      <c r="E17" s="36">
        <v>2016</v>
      </c>
      <c r="F17" s="36">
        <v>331</v>
      </c>
      <c r="G17" s="161">
        <v>0.9375</v>
      </c>
      <c r="H17" s="392">
        <v>0.104166666666667</v>
      </c>
      <c r="I17" s="393">
        <v>0</v>
      </c>
      <c r="J17" s="164">
        <f t="shared" si="1"/>
        <v>42701</v>
      </c>
      <c r="K17" s="36">
        <v>2016</v>
      </c>
      <c r="L17" s="36">
        <v>332</v>
      </c>
      <c r="M17" s="37">
        <v>4.1666666666666699E-2</v>
      </c>
      <c r="N17" s="499" t="s">
        <v>307</v>
      </c>
      <c r="O17" s="367">
        <f>IF(VALUE(LEFT($R17,3))&lt;192,"",IF(VALUE(LEFT($R17,3))&gt;597,"",VLOOKUP(VALUE(LEFT($R17,3)),'CIRS Table Info'!$B$6:$J$425,2,FALSE)))</f>
        <v>15.67</v>
      </c>
      <c r="P17" s="497" t="str">
        <f>IF(MID(R17,5,3)="",IF(VALUE(LEFT($R17,3))&lt;192,"",IF(VALUE(LEFT($R17,3))&gt;597,"",CONCATENATE(VLOOKUP(VALUE(LEFT($R17,3)),'CIRS Table Info'!$B$6:$J$425,6,FALSE),"/",VLOOKUP(VALUE(LEFT($R17,3)),'CIRS Table Info'!$B$6:$J$425,8,FALSE),IF(VLOOKUP(VALUE(LEFT($R17,3)),'CIRS Table Info'!$B$6:$J$425,9,FALSE)="Closed","/CLOSED","")))),IF(VALUE(MID($R17,5,3))&lt;192,"",IF(VALUE(MID($R17,5,3))&gt;597,"",CONCATENATE(VLOOKUP(VALUE(MID($R17,5,3)),'CIRS Table Info'!$B$6:$J$425,6,FALSE),"/",VLOOKUP(VALUE(MID($R17,5,3)),'CIRS Table Info'!$B$6:$J$425,8,FALSE),IF(VLOOKUP(VALUE(MID($R17,5,3)),'CIRS Table Info'!$B$6:$J$425,9,FALSE)="Closed","/CLOSED","")))))</f>
        <v>Blink/Blink</v>
      </c>
      <c r="Q17" s="171"/>
      <c r="R17" s="172">
        <f>VLOOKUP($C17,'CIRS Table IDs'!$B:$P,14,FALSE)</f>
        <v>405</v>
      </c>
      <c r="S17" s="410">
        <v>1682.3546140000001</v>
      </c>
      <c r="T17" s="411">
        <v>77.222370999999995</v>
      </c>
      <c r="V17" s="49"/>
      <c r="W17" s="49"/>
    </row>
    <row r="18" spans="1:24" x14ac:dyDescent="0.2">
      <c r="A18" s="21"/>
      <c r="B18" s="21">
        <v>9</v>
      </c>
      <c r="C18" s="45" t="s">
        <v>380</v>
      </c>
      <c r="D18" s="35">
        <f t="shared" si="0"/>
        <v>42701</v>
      </c>
      <c r="E18" s="36">
        <v>2016</v>
      </c>
      <c r="F18" s="36">
        <v>332</v>
      </c>
      <c r="G18" s="161">
        <v>4.1666666666666699E-2</v>
      </c>
      <c r="H18" s="392">
        <v>8.3333333333333301E-2</v>
      </c>
      <c r="I18" s="393">
        <v>0</v>
      </c>
      <c r="J18" s="164">
        <f t="shared" si="1"/>
        <v>42701</v>
      </c>
      <c r="K18" s="36">
        <v>2016</v>
      </c>
      <c r="L18" s="36">
        <v>332</v>
      </c>
      <c r="M18" s="37">
        <v>0.125</v>
      </c>
      <c r="N18" s="499" t="s">
        <v>307</v>
      </c>
      <c r="O18" s="367">
        <v>15.67</v>
      </c>
      <c r="P18" s="497" t="s">
        <v>699</v>
      </c>
      <c r="Q18" s="171"/>
      <c r="R18" s="172">
        <f>VLOOKUP($C18,'CIRS Table IDs'!$B:$P,14,FALSE)</f>
        <v>758</v>
      </c>
      <c r="S18" s="410">
        <v>1578.1281739999999</v>
      </c>
      <c r="T18" s="411">
        <v>95.216780999999997</v>
      </c>
    </row>
    <row r="19" spans="1:24" x14ac:dyDescent="0.2">
      <c r="A19" s="21"/>
      <c r="B19" s="21">
        <v>10</v>
      </c>
      <c r="C19" s="45" t="s">
        <v>384</v>
      </c>
      <c r="D19" s="35">
        <f t="shared" si="0"/>
        <v>42701</v>
      </c>
      <c r="E19" s="36">
        <v>2016</v>
      </c>
      <c r="F19" s="36">
        <v>332</v>
      </c>
      <c r="G19" s="161">
        <v>0.22847222222222199</v>
      </c>
      <c r="H19" s="392">
        <v>7.3611111111111099E-2</v>
      </c>
      <c r="I19" s="393">
        <v>0</v>
      </c>
      <c r="J19" s="164">
        <f t="shared" si="1"/>
        <v>42701</v>
      </c>
      <c r="K19" s="36">
        <v>2016</v>
      </c>
      <c r="L19" s="36">
        <v>332</v>
      </c>
      <c r="M19" s="37">
        <v>0.30208333333333298</v>
      </c>
      <c r="N19" s="499" t="s">
        <v>307</v>
      </c>
      <c r="O19" s="367">
        <v>15.67</v>
      </c>
      <c r="P19" s="497" t="s">
        <v>680</v>
      </c>
      <c r="Q19" s="171"/>
      <c r="R19" s="172">
        <f>VLOOKUP($C19,'CIRS Table IDs'!$B:$P,14,FALSE)</f>
        <v>759</v>
      </c>
      <c r="S19" s="410">
        <v>1655.7489009999999</v>
      </c>
      <c r="T19" s="411">
        <v>82.771832000000003</v>
      </c>
    </row>
    <row r="20" spans="1:24" x14ac:dyDescent="0.2">
      <c r="A20" s="21"/>
      <c r="B20" s="21">
        <v>11</v>
      </c>
      <c r="C20" s="45" t="s">
        <v>386</v>
      </c>
      <c r="D20" s="35">
        <f t="shared" si="0"/>
        <v>42701</v>
      </c>
      <c r="E20" s="36">
        <v>2016</v>
      </c>
      <c r="F20" s="36">
        <v>332</v>
      </c>
      <c r="G20" s="161">
        <v>0.30208333333333298</v>
      </c>
      <c r="H20" s="392">
        <v>0.11111111111111099</v>
      </c>
      <c r="I20" s="393">
        <v>0</v>
      </c>
      <c r="J20" s="164">
        <f t="shared" si="1"/>
        <v>42701</v>
      </c>
      <c r="K20" s="36">
        <v>2016</v>
      </c>
      <c r="L20" s="36">
        <v>332</v>
      </c>
      <c r="M20" s="37">
        <v>0.41319444444444398</v>
      </c>
      <c r="N20" s="499" t="s">
        <v>307</v>
      </c>
      <c r="O20" s="367">
        <v>15.67</v>
      </c>
      <c r="P20" s="497" t="s">
        <v>680</v>
      </c>
      <c r="Q20" s="171"/>
      <c r="R20" s="172">
        <f>VLOOKUP($C20,'CIRS Table IDs'!$B:$P,14,FALSE)</f>
        <v>760</v>
      </c>
      <c r="S20" s="410">
        <v>1293.9643550000001</v>
      </c>
      <c r="T20" s="411">
        <v>98.849909999999994</v>
      </c>
      <c r="V20" s="49"/>
      <c r="W20" s="49"/>
    </row>
    <row r="21" spans="1:24" ht="15.75" x14ac:dyDescent="0.25">
      <c r="A21" s="541">
        <v>3</v>
      </c>
      <c r="B21" s="541">
        <v>12</v>
      </c>
      <c r="C21" s="542" t="s">
        <v>389</v>
      </c>
      <c r="D21" s="543">
        <f t="shared" si="0"/>
        <v>42701</v>
      </c>
      <c r="E21" s="544">
        <v>2016</v>
      </c>
      <c r="F21" s="544">
        <v>332</v>
      </c>
      <c r="G21" s="545">
        <v>0.46875</v>
      </c>
      <c r="H21" s="546">
        <v>0.5234375</v>
      </c>
      <c r="I21" s="547">
        <v>0.17447916666666699</v>
      </c>
      <c r="J21" s="548">
        <f t="shared" si="1"/>
        <v>42702</v>
      </c>
      <c r="K21" s="544">
        <v>2016</v>
      </c>
      <c r="L21" s="544">
        <v>333</v>
      </c>
      <c r="M21" s="549">
        <v>0.16666666666666699</v>
      </c>
      <c r="N21" s="550">
        <v>3000</v>
      </c>
      <c r="O21" s="551" t="str">
        <f>IF(VALUE(LEFT($R21,3))&lt;192,"",IF(VALUE(LEFT($R21,3))&gt;597,"",VLOOKUP(VALUE(LEFT($R21,3)),'CIRS Table Info'!$B$6:$J$425,2,FALSE)))</f>
        <v/>
      </c>
      <c r="P21" s="552" t="str">
        <f>IF(MID(R21,5,3)="",IF(VALUE(LEFT($R21,3))&lt;192,"",IF(VALUE(LEFT($R21,3))&gt;597,"",CONCATENATE(VLOOKUP(VALUE(LEFT($R21,3)),'CIRS Table Info'!$B$6:$J$425,6,FALSE),"/",VLOOKUP(VALUE(LEFT($R21,3)),'CIRS Table Info'!$B$6:$J$425,8,FALSE),IF(VLOOKUP(VALUE(LEFT($R21,3)),'CIRS Table Info'!$B$6:$J$425,9,FALSE)="Closed","/CLOSED","")))),IF(VALUE(MID($R21,5,3))&lt;192,"",IF(VALUE(MID($R21,5,3))&gt;597,"",CONCATENATE(VLOOKUP(VALUE(MID($R21,5,3)),'CIRS Table Info'!$B$6:$J$425,6,FALSE),"/",VLOOKUP(VALUE(MID($R21,5,3)),'CIRS Table Info'!$B$6:$J$425,8,FALSE),IF(VLOOKUP(VALUE(MID($R21,5,3)),'CIRS Table Info'!$B$6:$J$425,9,FALSE)="Closed","/CLOSED","")))))</f>
        <v/>
      </c>
      <c r="Q21" s="553"/>
      <c r="R21" s="554">
        <f>VLOOKUP($C21,'CIRS Table IDs'!$B:$P,14,FALSE)</f>
        <v>761</v>
      </c>
      <c r="S21" s="555">
        <v>1823.0032960000001</v>
      </c>
      <c r="T21" s="490">
        <v>40.325141000000002</v>
      </c>
    </row>
    <row r="22" spans="1:24" x14ac:dyDescent="0.2">
      <c r="A22" s="477">
        <v>4</v>
      </c>
      <c r="B22" s="477">
        <v>13</v>
      </c>
      <c r="C22" s="478" t="s">
        <v>390</v>
      </c>
      <c r="D22" s="479">
        <f t="shared" si="0"/>
        <v>42702</v>
      </c>
      <c r="E22" s="480">
        <v>2016</v>
      </c>
      <c r="F22" s="480">
        <v>333</v>
      </c>
      <c r="G22" s="481">
        <v>0.93611111111111101</v>
      </c>
      <c r="H22" s="482">
        <v>0.12512499999999999</v>
      </c>
      <c r="I22" s="483">
        <v>0.166541666666667</v>
      </c>
      <c r="J22" s="484">
        <f t="shared" si="1"/>
        <v>42703</v>
      </c>
      <c r="K22" s="480">
        <v>2016</v>
      </c>
      <c r="L22" s="480">
        <v>334</v>
      </c>
      <c r="M22" s="485">
        <v>0.227777777777778</v>
      </c>
      <c r="N22" s="501">
        <v>1716</v>
      </c>
      <c r="O22" s="486" t="str">
        <f>IF(VALUE(LEFT($R22,3))&lt;192,"",IF(VALUE(LEFT($R22,3))&gt;597,"",VLOOKUP(VALUE(LEFT($R22,3)),'CIRS Table Info'!$B$6:$J$425,2,FALSE)))</f>
        <v/>
      </c>
      <c r="P22" s="498" t="str">
        <f>IF(MID(R22,5,3)="",IF(VALUE(LEFT($R22,3))&lt;192,"",IF(VALUE(LEFT($R22,3))&gt;597,"",CONCATENATE(VLOOKUP(VALUE(LEFT($R22,3)),'CIRS Table Info'!$B$6:$J$425,6,FALSE),"/",VLOOKUP(VALUE(LEFT($R22,3)),'CIRS Table Info'!$B$6:$J$425,8,FALSE),IF(VLOOKUP(VALUE(LEFT($R22,3)),'CIRS Table Info'!$B$6:$J$425,9,FALSE)="Closed","/CLOSED","")))),IF(VALUE(MID($R22,5,3))&lt;192,"",IF(VALUE(MID($R22,5,3))&gt;597,"",CONCATENATE(VLOOKUP(VALUE(MID($R22,5,3)),'CIRS Table Info'!$B$6:$J$425,6,FALSE),"/",VLOOKUP(VALUE(MID($R22,5,3)),'CIRS Table Info'!$B$6:$J$425,8,FALSE),IF(VLOOKUP(VALUE(MID($R22,5,3)),'CIRS Table Info'!$B$6:$J$425,9,FALSE)="Closed","/CLOSED","")))))</f>
        <v/>
      </c>
      <c r="Q22" s="487"/>
      <c r="R22" s="488">
        <f>VLOOKUP($C22,'CIRS Table IDs'!$B:$P,14,FALSE)</f>
        <v>762</v>
      </c>
      <c r="S22" s="489">
        <v>1709.715332</v>
      </c>
      <c r="T22" s="490">
        <v>72.144485000000003</v>
      </c>
      <c r="V22" s="49"/>
      <c r="W22" s="49"/>
    </row>
    <row r="23" spans="1:24" ht="15.75" x14ac:dyDescent="0.25">
      <c r="A23" s="526"/>
      <c r="B23" s="526">
        <v>14</v>
      </c>
      <c r="C23" s="527" t="s">
        <v>391</v>
      </c>
      <c r="D23" s="528">
        <f t="shared" si="0"/>
        <v>42703</v>
      </c>
      <c r="E23" s="529">
        <v>2016</v>
      </c>
      <c r="F23" s="529">
        <v>334</v>
      </c>
      <c r="G23" s="530">
        <v>0.26194444444444398</v>
      </c>
      <c r="H23" s="531">
        <v>8.1481481481481502E-2</v>
      </c>
      <c r="I23" s="532">
        <v>0</v>
      </c>
      <c r="J23" s="533">
        <f t="shared" si="1"/>
        <v>42703</v>
      </c>
      <c r="K23" s="529">
        <v>2016</v>
      </c>
      <c r="L23" s="529">
        <v>334</v>
      </c>
      <c r="M23" s="534">
        <v>0.34342592592592602</v>
      </c>
      <c r="N23" s="535" t="s">
        <v>308</v>
      </c>
      <c r="O23" s="536">
        <f>IF(VALUE(LEFT($R23,3))&lt;192,"",IF(VALUE(LEFT($R23,3))&gt;597,"",VLOOKUP(VALUE(LEFT($R23,3)),'CIRS Table Info'!$B$6:$J$425,2,FALSE)))</f>
        <v>2.85</v>
      </c>
      <c r="P23" s="537" t="str">
        <f>IF(MID(R23,5,3)="",IF(VALUE(LEFT($R23,3))&lt;192,"",IF(VALUE(LEFT($R23,3))&gt;597,"",CONCATENATE(VLOOKUP(VALUE(LEFT($R23,3)),'CIRS Table Info'!$B$6:$J$425,6,FALSE),"/",VLOOKUP(VALUE(LEFT($R23,3)),'CIRS Table Info'!$B$6:$J$425,8,FALSE),IF(VLOOKUP(VALUE(LEFT($R23,3)),'CIRS Table Info'!$B$6:$J$425,9,FALSE)="Closed","/CLOSED","")))),IF(VALUE(MID($R23,5,3))&lt;192,"",IF(VALUE(MID($R23,5,3))&gt;597,"",CONCATENATE(VLOOKUP(VALUE(MID($R23,5,3)),'CIRS Table Info'!$B$6:$J$425,6,FALSE),"/",VLOOKUP(VALUE(MID($R23,5,3)),'CIRS Table Info'!$B$6:$J$425,8,FALSE),IF(VLOOKUP(VALUE(MID($R23,5,3)),'CIRS Table Info'!$B$6:$J$425,9,FALSE)="Closed","/CLOSED","")))))</f>
        <v>Blink/Blink</v>
      </c>
      <c r="Q23" s="538"/>
      <c r="R23" s="539">
        <f>VLOOKUP($C23,'CIRS Table IDs'!$B:$P,14,FALSE)</f>
        <v>473</v>
      </c>
      <c r="S23" s="540">
        <v>1340.9379879999999</v>
      </c>
      <c r="T23" s="411">
        <v>36.234242000000002</v>
      </c>
      <c r="V23" s="49"/>
      <c r="W23" s="49"/>
    </row>
    <row r="24" spans="1:24" ht="15.75" x14ac:dyDescent="0.25">
      <c r="A24" s="526"/>
      <c r="B24" s="526">
        <v>15</v>
      </c>
      <c r="C24" s="527" t="s">
        <v>392</v>
      </c>
      <c r="D24" s="528">
        <f t="shared" si="0"/>
        <v>42703</v>
      </c>
      <c r="E24" s="529">
        <v>2016</v>
      </c>
      <c r="F24" s="529">
        <v>334</v>
      </c>
      <c r="G24" s="530">
        <v>0.34342592592592602</v>
      </c>
      <c r="H24" s="531">
        <v>0.20833333333333301</v>
      </c>
      <c r="I24" s="532">
        <v>0</v>
      </c>
      <c r="J24" s="533">
        <f t="shared" si="1"/>
        <v>42703</v>
      </c>
      <c r="K24" s="529">
        <v>2016</v>
      </c>
      <c r="L24" s="529">
        <v>334</v>
      </c>
      <c r="M24" s="534">
        <v>0.55175925925925895</v>
      </c>
      <c r="N24" s="535" t="s">
        <v>308</v>
      </c>
      <c r="O24" s="536">
        <f>IF(VALUE(LEFT($R24,3))&lt;192,"",IF(VALUE(LEFT($R24,3))&gt;597,"",VLOOKUP(VALUE(LEFT($R24,3)),'CIRS Table Info'!$B$6:$J$425,2,FALSE)))</f>
        <v>2.85</v>
      </c>
      <c r="P24" s="537" t="str">
        <f>IF(MID(R24,5,3)="",IF(VALUE(LEFT($R24,3))&lt;192,"",IF(VALUE(LEFT($R24,3))&gt;597,"",CONCATENATE(VLOOKUP(VALUE(LEFT($R24,3)),'CIRS Table Info'!$B$6:$J$425,6,FALSE),"/",VLOOKUP(VALUE(LEFT($R24,3)),'CIRS Table Info'!$B$6:$J$425,8,FALSE),IF(VLOOKUP(VALUE(LEFT($R24,3)),'CIRS Table Info'!$B$6:$J$425,9,FALSE)="Closed","/CLOSED","")))),IF(VALUE(MID($R24,5,3))&lt;192,"",IF(VALUE(MID($R24,5,3))&gt;597,"",CONCATENATE(VLOOKUP(VALUE(MID($R24,5,3)),'CIRS Table Info'!$B$6:$J$425,6,FALSE),"/",VLOOKUP(VALUE(MID($R24,5,3)),'CIRS Table Info'!$B$6:$J$425,8,FALSE),IF(VLOOKUP(VALUE(MID($R24,5,3)),'CIRS Table Info'!$B$6:$J$425,9,FALSE)="Closed","/CLOSED","")))))</f>
        <v>Blink/Blink</v>
      </c>
      <c r="Q24" s="538"/>
      <c r="R24" s="539">
        <f>VLOOKUP($C24,'CIRS Table IDs'!$B:$P,14,FALSE)</f>
        <v>473</v>
      </c>
      <c r="S24" s="540">
        <v>1339.4210210000001</v>
      </c>
      <c r="T24" s="411">
        <v>2</v>
      </c>
      <c r="V24" s="49"/>
      <c r="W24" s="49"/>
    </row>
    <row r="25" spans="1:24" ht="15.75" x14ac:dyDescent="0.25">
      <c r="A25" s="526"/>
      <c r="B25" s="526">
        <v>16</v>
      </c>
      <c r="C25" s="527" t="s">
        <v>393</v>
      </c>
      <c r="D25" s="528">
        <f t="shared" si="0"/>
        <v>42703</v>
      </c>
      <c r="E25" s="529">
        <v>2016</v>
      </c>
      <c r="F25" s="529">
        <v>334</v>
      </c>
      <c r="G25" s="530">
        <v>0.55175925925925895</v>
      </c>
      <c r="H25" s="531">
        <v>0.16666666666666699</v>
      </c>
      <c r="I25" s="532">
        <v>0</v>
      </c>
      <c r="J25" s="533">
        <f t="shared" si="1"/>
        <v>42703</v>
      </c>
      <c r="K25" s="529">
        <v>2016</v>
      </c>
      <c r="L25" s="529">
        <v>334</v>
      </c>
      <c r="M25" s="534">
        <v>0.71842592592592602</v>
      </c>
      <c r="N25" s="535" t="s">
        <v>308</v>
      </c>
      <c r="O25" s="536">
        <f>IF(VALUE(LEFT($R25,3))&lt;192,"",IF(VALUE(LEFT($R25,3))&gt;597,"",VLOOKUP(VALUE(LEFT($R25,3)),'CIRS Table Info'!$B$6:$J$425,2,FALSE)))</f>
        <v>2.85</v>
      </c>
      <c r="P25" s="537" t="str">
        <f>IF(MID(R25,5,3)="",IF(VALUE(LEFT($R25,3))&lt;192,"",IF(VALUE(LEFT($R25,3))&gt;597,"",CONCATENATE(VLOOKUP(VALUE(LEFT($R25,3)),'CIRS Table Info'!$B$6:$J$425,6,FALSE),"/",VLOOKUP(VALUE(LEFT($R25,3)),'CIRS Table Info'!$B$6:$J$425,8,FALSE),IF(VLOOKUP(VALUE(LEFT($R25,3)),'CIRS Table Info'!$B$6:$J$425,9,FALSE)="Closed","/CLOSED","")))),IF(VALUE(MID($R25,5,3))&lt;192,"",IF(VALUE(MID($R25,5,3))&gt;597,"",CONCATENATE(VLOOKUP(VALUE(MID($R25,5,3)),'CIRS Table Info'!$B$6:$J$425,6,FALSE),"/",VLOOKUP(VALUE(MID($R25,5,3)),'CIRS Table Info'!$B$6:$J$425,8,FALSE),IF(VLOOKUP(VALUE(MID($R25,5,3)),'CIRS Table Info'!$B$6:$J$425,9,FALSE)="Closed","/CLOSED","")))))</f>
        <v>Blink/Blink</v>
      </c>
      <c r="Q25" s="538"/>
      <c r="R25" s="539">
        <f>VLOOKUP($C25,'CIRS Table IDs'!$B:$P,14,FALSE)</f>
        <v>473</v>
      </c>
      <c r="S25" s="540">
        <v>1395.337158</v>
      </c>
      <c r="T25" s="411">
        <v>45.134664000000001</v>
      </c>
    </row>
    <row r="26" spans="1:24" x14ac:dyDescent="0.2">
      <c r="A26" s="21"/>
      <c r="B26" s="21">
        <v>17</v>
      </c>
      <c r="C26" s="45" t="s">
        <v>394</v>
      </c>
      <c r="D26" s="35">
        <f t="shared" si="0"/>
        <v>42703</v>
      </c>
      <c r="E26" s="36">
        <v>2016</v>
      </c>
      <c r="F26" s="36">
        <v>334</v>
      </c>
      <c r="G26" s="161">
        <v>0.71842592592592602</v>
      </c>
      <c r="H26" s="392">
        <v>0.114583333333333</v>
      </c>
      <c r="I26" s="393">
        <v>0</v>
      </c>
      <c r="J26" s="164">
        <f t="shared" si="1"/>
        <v>42703</v>
      </c>
      <c r="K26" s="36">
        <v>2016</v>
      </c>
      <c r="L26" s="36">
        <v>334</v>
      </c>
      <c r="M26" s="37">
        <v>0.83300925925925895</v>
      </c>
      <c r="N26" s="499" t="s">
        <v>308</v>
      </c>
      <c r="O26" s="367">
        <f>IF(VALUE(LEFT($R26,3))&lt;192,"",IF(VALUE(LEFT($R26,3))&gt;597,"",VLOOKUP(VALUE(LEFT($R26,3)),'CIRS Table Info'!$B$6:$J$425,2,FALSE)))</f>
        <v>2.85</v>
      </c>
      <c r="P26" s="497" t="str">
        <f>IF(MID(R26,5,3)="",IF(VALUE(LEFT($R26,3))&lt;192,"",IF(VALUE(LEFT($R26,3))&gt;597,"",CONCATENATE(VLOOKUP(VALUE(LEFT($R26,3)),'CIRS Table Info'!$B$6:$J$425,6,FALSE),"/",VLOOKUP(VALUE(LEFT($R26,3)),'CIRS Table Info'!$B$6:$J$425,8,FALSE),IF(VLOOKUP(VALUE(LEFT($R26,3)),'CIRS Table Info'!$B$6:$J$425,9,FALSE)="Closed","/CLOSED","")))),IF(VALUE(MID($R26,5,3))&lt;192,"",IF(VALUE(MID($R26,5,3))&gt;597,"",CONCATENATE(VLOOKUP(VALUE(MID($R26,5,3)),'CIRS Table Info'!$B$6:$J$425,6,FALSE),"/",VLOOKUP(VALUE(MID($R26,5,3)),'CIRS Table Info'!$B$6:$J$425,8,FALSE),IF(VLOOKUP(VALUE(MID($R26,5,3)),'CIRS Table Info'!$B$6:$J$425,9,FALSE)="Closed","/CLOSED","")))))</f>
        <v>Blink/Blink</v>
      </c>
      <c r="Q26" s="171"/>
      <c r="R26" s="172">
        <f>VLOOKUP($C26,'CIRS Table IDs'!$B:$P,14,FALSE)</f>
        <v>245</v>
      </c>
      <c r="S26" s="410">
        <v>1495.217529</v>
      </c>
      <c r="T26" s="411">
        <v>53.505439000000003</v>
      </c>
      <c r="W26" s="49"/>
      <c r="X26" s="49"/>
    </row>
    <row r="27" spans="1:24" x14ac:dyDescent="0.2">
      <c r="A27" s="21"/>
      <c r="B27" s="21">
        <v>18</v>
      </c>
      <c r="C27" s="45" t="s">
        <v>395</v>
      </c>
      <c r="D27" s="35">
        <f t="shared" si="0"/>
        <v>42703</v>
      </c>
      <c r="E27" s="36">
        <v>2016</v>
      </c>
      <c r="F27" s="36">
        <v>334</v>
      </c>
      <c r="G27" s="161">
        <v>0.83300925925925895</v>
      </c>
      <c r="H27" s="392">
        <v>7.2916666666666699E-2</v>
      </c>
      <c r="I27" s="393">
        <v>0</v>
      </c>
      <c r="J27" s="164">
        <f t="shared" si="1"/>
        <v>42703</v>
      </c>
      <c r="K27" s="36">
        <v>2016</v>
      </c>
      <c r="L27" s="36">
        <v>334</v>
      </c>
      <c r="M27" s="37">
        <v>0.90592592592592602</v>
      </c>
      <c r="N27" s="499" t="s">
        <v>308</v>
      </c>
      <c r="O27" s="367">
        <f>IF(VALUE(LEFT($R27,3))&lt;192,"",IF(VALUE(LEFT($R27,3))&gt;597,"",VLOOKUP(VALUE(LEFT($R27,3)),'CIRS Table Info'!$B$6:$J$425,2,FALSE)))</f>
        <v>2.85</v>
      </c>
      <c r="P27" s="497" t="str">
        <f>IF(MID(R27,5,3)="",IF(VALUE(LEFT($R27,3))&lt;192,"",IF(VALUE(LEFT($R27,3))&gt;597,"",CONCATENATE(VLOOKUP(VALUE(LEFT($R27,3)),'CIRS Table Info'!$B$6:$J$425,6,FALSE),"/",VLOOKUP(VALUE(LEFT($R27,3)),'CIRS Table Info'!$B$6:$J$425,8,FALSE),IF(VLOOKUP(VALUE(LEFT($R27,3)),'CIRS Table Info'!$B$6:$J$425,9,FALSE)="Closed","/CLOSED","")))),IF(VALUE(MID($R27,5,3))&lt;192,"",IF(VALUE(MID($R27,5,3))&gt;597,"",CONCATENATE(VLOOKUP(VALUE(MID($R27,5,3)),'CIRS Table Info'!$B$6:$J$425,6,FALSE),"/",VLOOKUP(VALUE(MID($R27,5,3)),'CIRS Table Info'!$B$6:$J$425,8,FALSE),IF(VLOOKUP(VALUE(MID($R27,5,3)),'CIRS Table Info'!$B$6:$J$425,9,FALSE)="Closed","/CLOSED","")))))</f>
        <v>Blink/Blink</v>
      </c>
      <c r="Q27" s="171"/>
      <c r="R27" s="172">
        <f>VLOOKUP($C27,'CIRS Table IDs'!$B:$P,14,FALSE)</f>
        <v>245</v>
      </c>
      <c r="S27" s="410">
        <v>1518.9350589999999</v>
      </c>
      <c r="T27" s="411">
        <v>64.347541000000007</v>
      </c>
    </row>
    <row r="28" spans="1:24" x14ac:dyDescent="0.2">
      <c r="A28" s="21"/>
      <c r="B28" s="21">
        <v>19</v>
      </c>
      <c r="C28" s="45" t="s">
        <v>396</v>
      </c>
      <c r="D28" s="35">
        <f t="shared" si="0"/>
        <v>42703</v>
      </c>
      <c r="E28" s="36">
        <v>2016</v>
      </c>
      <c r="F28" s="36">
        <v>334</v>
      </c>
      <c r="G28" s="161">
        <v>0.90592592592592602</v>
      </c>
      <c r="H28" s="392">
        <v>3.125E-2</v>
      </c>
      <c r="I28" s="393">
        <v>0</v>
      </c>
      <c r="J28" s="164">
        <f t="shared" si="1"/>
        <v>42703</v>
      </c>
      <c r="K28" s="36">
        <v>2016</v>
      </c>
      <c r="L28" s="36">
        <v>334</v>
      </c>
      <c r="M28" s="37">
        <v>0.93717592592592602</v>
      </c>
      <c r="N28" s="499" t="s">
        <v>308</v>
      </c>
      <c r="O28" s="367">
        <f>IF(VALUE(LEFT($R28,3))&lt;192,"",IF(VALUE(LEFT($R28,3))&gt;597,"",VLOOKUP(VALUE(LEFT($R28,3)),'CIRS Table Info'!$B$6:$J$425,2,FALSE)))</f>
        <v>2.85</v>
      </c>
      <c r="P28" s="497" t="str">
        <f>IF(MID(R28,5,3)="",IF(VALUE(LEFT($R28,3))&lt;192,"",IF(VALUE(LEFT($R28,3))&gt;597,"",CONCATENATE(VLOOKUP(VALUE(LEFT($R28,3)),'CIRS Table Info'!$B$6:$J$425,6,FALSE),"/",VLOOKUP(VALUE(LEFT($R28,3)),'CIRS Table Info'!$B$6:$J$425,8,FALSE),IF(VLOOKUP(VALUE(LEFT($R28,3)),'CIRS Table Info'!$B$6:$J$425,9,FALSE)="Closed","/CLOSED","")))),IF(VALUE(MID($R28,5,3))&lt;192,"",IF(VALUE(MID($R28,5,3))&gt;597,"",CONCATENATE(VLOOKUP(VALUE(MID($R28,5,3)),'CIRS Table Info'!$B$6:$J$425,6,FALSE),"/",VLOOKUP(VALUE(MID($R28,5,3)),'CIRS Table Info'!$B$6:$J$425,8,FALSE),IF(VLOOKUP(VALUE(MID($R28,5,3)),'CIRS Table Info'!$B$6:$J$425,9,FALSE)="Closed","/CLOSED","")))))</f>
        <v>Blink/Blink</v>
      </c>
      <c r="Q28" s="171"/>
      <c r="R28" s="172">
        <f>VLOOKUP($C28,'CIRS Table IDs'!$B:$P,14,FALSE)</f>
        <v>245</v>
      </c>
      <c r="S28" s="410">
        <v>1738.4449460000001</v>
      </c>
      <c r="T28" s="411">
        <v>67.203986999999998</v>
      </c>
      <c r="V28" s="49"/>
      <c r="W28" s="49"/>
    </row>
    <row r="29" spans="1:24" x14ac:dyDescent="0.2">
      <c r="A29" s="21"/>
      <c r="B29" s="21">
        <v>20</v>
      </c>
      <c r="C29" s="45" t="s">
        <v>397</v>
      </c>
      <c r="D29" s="35">
        <f t="shared" si="0"/>
        <v>42703</v>
      </c>
      <c r="E29" s="36">
        <v>2016</v>
      </c>
      <c r="F29" s="36">
        <v>334</v>
      </c>
      <c r="G29" s="161">
        <v>0.93717592592592602</v>
      </c>
      <c r="H29" s="392">
        <v>2.0833333333333301E-2</v>
      </c>
      <c r="I29" s="393">
        <v>0</v>
      </c>
      <c r="J29" s="164">
        <f t="shared" si="1"/>
        <v>42703</v>
      </c>
      <c r="K29" s="36">
        <v>2016</v>
      </c>
      <c r="L29" s="36">
        <v>334</v>
      </c>
      <c r="M29" s="37">
        <v>0.95800925925925895</v>
      </c>
      <c r="N29" s="499" t="s">
        <v>307</v>
      </c>
      <c r="O29" s="367">
        <f>IF(VALUE(LEFT($R29,3))&lt;192,"",IF(VALUE(LEFT($R29,3))&gt;597,"",VLOOKUP(VALUE(LEFT($R29,3)),'CIRS Table Info'!$B$6:$J$425,2,FALSE)))</f>
        <v>15.67</v>
      </c>
      <c r="P29" s="497" t="str">
        <f>IF(MID(R29,5,3)="",IF(VALUE(LEFT($R29,3))&lt;192,"",IF(VALUE(LEFT($R29,3))&gt;597,"",CONCATENATE(VLOOKUP(VALUE(LEFT($R29,3)),'CIRS Table Info'!$B$6:$J$425,6,FALSE),"/",VLOOKUP(VALUE(LEFT($R29,3)),'CIRS Table Info'!$B$6:$J$425,8,FALSE),IF(VLOOKUP(VALUE(LEFT($R29,3)),'CIRS Table Info'!$B$6:$J$425,9,FALSE)="Closed","/CLOSED","")))),IF(VALUE(MID($R29,5,3))&lt;192,"",IF(VALUE(MID($R29,5,3))&gt;597,"",CONCATENATE(VLOOKUP(VALUE(MID($R29,5,3)),'CIRS Table Info'!$B$6:$J$425,6,FALSE),"/",VLOOKUP(VALUE(MID($R29,5,3)),'CIRS Table Info'!$B$6:$J$425,8,FALSE),IF(VLOOKUP(VALUE(MID($R29,5,3)),'CIRS Table Info'!$B$6:$J$425,9,FALSE)="Closed","/CLOSED","")))))</f>
        <v>Blink/Blink</v>
      </c>
      <c r="Q29" s="171"/>
      <c r="R29" s="172">
        <f>VLOOKUP($C29,'CIRS Table IDs'!$B:$P,14,FALSE)</f>
        <v>208</v>
      </c>
      <c r="S29" s="410">
        <v>1590.1403809999999</v>
      </c>
      <c r="T29" s="411">
        <v>92.162794000000005</v>
      </c>
      <c r="W29" s="49"/>
      <c r="X29" s="49"/>
    </row>
    <row r="30" spans="1:24" x14ac:dyDescent="0.2">
      <c r="A30" s="21"/>
      <c r="B30" s="21">
        <v>21</v>
      </c>
      <c r="C30" s="45" t="s">
        <v>400</v>
      </c>
      <c r="D30" s="35">
        <f t="shared" si="0"/>
        <v>42703</v>
      </c>
      <c r="E30" s="36">
        <v>2016</v>
      </c>
      <c r="F30" s="36">
        <v>334</v>
      </c>
      <c r="G30" s="161">
        <v>0.95800925925925895</v>
      </c>
      <c r="H30" s="392">
        <v>2.0833333333333301E-2</v>
      </c>
      <c r="I30" s="393">
        <v>0</v>
      </c>
      <c r="J30" s="164">
        <f t="shared" si="1"/>
        <v>42703</v>
      </c>
      <c r="K30" s="36">
        <v>2016</v>
      </c>
      <c r="L30" s="36">
        <v>334</v>
      </c>
      <c r="M30" s="37">
        <v>0.97884259259259299</v>
      </c>
      <c r="N30" s="499" t="s">
        <v>307</v>
      </c>
      <c r="O30" s="367">
        <f>IF(VALUE(LEFT($R30,3))&lt;192,"",IF(VALUE(LEFT($R30,3))&gt;597,"",VLOOKUP(VALUE(LEFT($R30,3)),'CIRS Table Info'!$B$6:$J$425,2,FALSE)))</f>
        <v>15.67</v>
      </c>
      <c r="P30" s="497" t="str">
        <f>IF(MID(R30,5,3)="",IF(VALUE(LEFT($R30,3))&lt;192,"",IF(VALUE(LEFT($R30,3))&gt;597,"",CONCATENATE(VLOOKUP(VALUE(LEFT($R30,3)),'CIRS Table Info'!$B$6:$J$425,6,FALSE),"/",VLOOKUP(VALUE(LEFT($R30,3)),'CIRS Table Info'!$B$6:$J$425,8,FALSE),IF(VLOOKUP(VALUE(LEFT($R30,3)),'CIRS Table Info'!$B$6:$J$425,9,FALSE)="Closed","/CLOSED","")))),IF(VALUE(MID($R30,5,3))&lt;192,"",IF(VALUE(MID($R30,5,3))&gt;597,"",CONCATENATE(VLOOKUP(VALUE(MID($R30,5,3)),'CIRS Table Info'!$B$6:$J$425,6,FALSE),"/",VLOOKUP(VALUE(MID($R30,5,3)),'CIRS Table Info'!$B$6:$J$425,8,FALSE),IF(VLOOKUP(VALUE(MID($R30,5,3)),'CIRS Table Info'!$B$6:$J$425,9,FALSE)="Closed","/CLOSED","")))))</f>
        <v>Blink/Blink</v>
      </c>
      <c r="Q30" s="171"/>
      <c r="R30" s="172">
        <f>VLOOKUP($C30,'CIRS Table IDs'!$B:$P,14,FALSE)</f>
        <v>208</v>
      </c>
      <c r="S30" s="410">
        <v>1287.7280270000001</v>
      </c>
      <c r="T30" s="411">
        <v>100</v>
      </c>
    </row>
    <row r="31" spans="1:24" x14ac:dyDescent="0.2">
      <c r="A31" s="21"/>
      <c r="B31" s="21">
        <v>22</v>
      </c>
      <c r="C31" s="45" t="s">
        <v>401</v>
      </c>
      <c r="D31" s="35">
        <f t="shared" si="0"/>
        <v>42703</v>
      </c>
      <c r="E31" s="36">
        <v>2016</v>
      </c>
      <c r="F31" s="36">
        <v>334</v>
      </c>
      <c r="G31" s="161">
        <v>0.97884259259259299</v>
      </c>
      <c r="H31" s="392">
        <v>4.1666666666666699E-2</v>
      </c>
      <c r="I31" s="393">
        <v>0</v>
      </c>
      <c r="J31" s="164">
        <f t="shared" si="1"/>
        <v>42704</v>
      </c>
      <c r="K31" s="36">
        <v>2016</v>
      </c>
      <c r="L31" s="36">
        <v>335</v>
      </c>
      <c r="M31" s="37">
        <v>2.05092592592593E-2</v>
      </c>
      <c r="N31" s="499" t="s">
        <v>307</v>
      </c>
      <c r="O31" s="367">
        <f>IF(VALUE(LEFT($R31,3))&lt;192,"",IF(VALUE(LEFT($R31,3))&gt;597,"",VLOOKUP(VALUE(LEFT($R31,3)),'CIRS Table Info'!$B$6:$J$425,2,FALSE)))</f>
        <v>0.53</v>
      </c>
      <c r="P31" s="497" t="str">
        <f>IF(MID(R31,5,3)="",IF(VALUE(LEFT($R31,3))&lt;192,"",IF(VALUE(LEFT($R31,3))&gt;597,"",CONCATENATE(VLOOKUP(VALUE(LEFT($R31,3)),'CIRS Table Info'!$B$6:$J$425,6,FALSE),"/",VLOOKUP(VALUE(LEFT($R31,3)),'CIRS Table Info'!$B$6:$J$425,8,FALSE),IF(VLOOKUP(VALUE(LEFT($R31,3)),'CIRS Table Info'!$B$6:$J$425,9,FALSE)="Closed","/CLOSED","")))),IF(VALUE(MID($R31,5,3))&lt;192,"",IF(VALUE(MID($R31,5,3))&gt;597,"",CONCATENATE(VLOOKUP(VALUE(MID($R31,5,3)),'CIRS Table Info'!$B$6:$J$425,6,FALSE),"/",VLOOKUP(VALUE(MID($R31,5,3)),'CIRS Table Info'!$B$6:$J$425,8,FALSE),IF(VLOOKUP(VALUE(MID($R31,5,3)),'CIRS Table Info'!$B$6:$J$425,9,FALSE)="Closed","/CLOSED","")))))</f>
        <v>Blink/Blink</v>
      </c>
      <c r="Q31" s="171"/>
      <c r="R31" s="172">
        <f>VLOOKUP($C31,'CIRS Table IDs'!$B:$P,14,FALSE)</f>
        <v>283</v>
      </c>
      <c r="S31" s="410">
        <v>1527.2641599999999</v>
      </c>
      <c r="T31" s="411">
        <v>90.514146999999994</v>
      </c>
      <c r="V31" s="49"/>
      <c r="W31" s="49"/>
      <c r="X31" s="49"/>
    </row>
    <row r="32" spans="1:24" ht="15.75" x14ac:dyDescent="0.25">
      <c r="A32" s="526"/>
      <c r="B32" s="526">
        <v>23</v>
      </c>
      <c r="C32" s="527" t="s">
        <v>402</v>
      </c>
      <c r="D32" s="528">
        <f t="shared" si="0"/>
        <v>42704</v>
      </c>
      <c r="E32" s="529">
        <v>2016</v>
      </c>
      <c r="F32" s="529">
        <v>335</v>
      </c>
      <c r="G32" s="530">
        <v>2.05092592592593E-2</v>
      </c>
      <c r="H32" s="531">
        <v>0.114583333333333</v>
      </c>
      <c r="I32" s="532">
        <v>0</v>
      </c>
      <c r="J32" s="533">
        <f t="shared" si="1"/>
        <v>42704</v>
      </c>
      <c r="K32" s="529">
        <v>2016</v>
      </c>
      <c r="L32" s="529">
        <v>335</v>
      </c>
      <c r="M32" s="534">
        <v>0.13509259259259301</v>
      </c>
      <c r="N32" s="535" t="s">
        <v>308</v>
      </c>
      <c r="O32" s="536">
        <f>IF(VALUE(LEFT($R32,3))&lt;192,"",IF(VALUE(LEFT($R32,3))&gt;597,"",VLOOKUP(VALUE(LEFT($R32,3)),'CIRS Table Info'!$B$6:$J$425,2,FALSE)))</f>
        <v>15.67</v>
      </c>
      <c r="P32" s="537" t="str">
        <f>IF(MID(R32,5,3)="",IF(VALUE(LEFT($R32,3))&lt;192,"",IF(VALUE(LEFT($R32,3))&gt;597,"",CONCATENATE(VLOOKUP(VALUE(LEFT($R32,3)),'CIRS Table Info'!$B$6:$J$425,6,FALSE),"/",VLOOKUP(VALUE(LEFT($R32,3)),'CIRS Table Info'!$B$6:$J$425,8,FALSE),IF(VLOOKUP(VALUE(LEFT($R32,3)),'CIRS Table Info'!$B$6:$J$425,9,FALSE)="Closed","/CLOSED","")))),IF(VALUE(MID($R32,5,3))&lt;192,"",IF(VALUE(MID($R32,5,3))&gt;597,"",CONCATENATE(VLOOKUP(VALUE(MID($R32,5,3)),'CIRS Table Info'!$B$6:$J$425,6,FALSE),"/",VLOOKUP(VALUE(MID($R32,5,3)),'CIRS Table Info'!$B$6:$J$425,8,FALSE),IF(VLOOKUP(VALUE(MID($R32,5,3)),'CIRS Table Info'!$B$6:$J$425,9,FALSE)="Closed","/CLOSED","")))))</f>
        <v>Blink/Blink</v>
      </c>
      <c r="Q32" s="538"/>
      <c r="R32" s="539">
        <f>VLOOKUP($C32,'CIRS Table IDs'!$B:$P,14,FALSE)</f>
        <v>461</v>
      </c>
      <c r="S32" s="540">
        <v>1405.4929199999999</v>
      </c>
      <c r="T32" s="411">
        <v>22.449486</v>
      </c>
    </row>
    <row r="33" spans="1:24" x14ac:dyDescent="0.2">
      <c r="A33" s="21"/>
      <c r="B33" s="21">
        <v>24</v>
      </c>
      <c r="C33" s="45" t="s">
        <v>404</v>
      </c>
      <c r="D33" s="35">
        <f t="shared" si="0"/>
        <v>42704</v>
      </c>
      <c r="E33" s="36">
        <v>2016</v>
      </c>
      <c r="F33" s="36">
        <v>335</v>
      </c>
      <c r="G33" s="161">
        <v>0.13509259259259301</v>
      </c>
      <c r="H33" s="392">
        <v>0.16666666666666699</v>
      </c>
      <c r="I33" s="393">
        <v>0</v>
      </c>
      <c r="J33" s="164">
        <f t="shared" si="1"/>
        <v>42704</v>
      </c>
      <c r="K33" s="36">
        <v>2016</v>
      </c>
      <c r="L33" s="36">
        <v>335</v>
      </c>
      <c r="M33" s="37">
        <v>0.30175925925925901</v>
      </c>
      <c r="N33" s="499" t="s">
        <v>307</v>
      </c>
      <c r="O33" s="367">
        <f>IF(VALUE(LEFT($R33,3))&lt;192,"",IF(VALUE(LEFT($R33,3))&gt;597,"",VLOOKUP(VALUE(LEFT($R33,3)),'CIRS Table Info'!$B$6:$J$425,2,FALSE)))</f>
        <v>0.53</v>
      </c>
      <c r="P33" s="497" t="str">
        <f>IF(MID(R33,5,3)="",IF(VALUE(LEFT($R33,3))&lt;192,"",IF(VALUE(LEFT($R33,3))&gt;597,"",CONCATENATE(VLOOKUP(VALUE(LEFT($R33,3)),'CIRS Table Info'!$B$6:$J$425,6,FALSE),"/",VLOOKUP(VALUE(LEFT($R33,3)),'CIRS Table Info'!$B$6:$J$425,8,FALSE),IF(VLOOKUP(VALUE(LEFT($R33,3)),'CIRS Table Info'!$B$6:$J$425,9,FALSE)="Closed","/CLOSED","")))),IF(VALUE(MID($R33,5,3))&lt;192,"",IF(VALUE(MID($R33,5,3))&gt;597,"",CONCATENATE(VLOOKUP(VALUE(MID($R33,5,3)),'CIRS Table Info'!$B$6:$J$425,6,FALSE),"/",VLOOKUP(VALUE(MID($R33,5,3)),'CIRS Table Info'!$B$6:$J$425,8,FALSE),IF(VLOOKUP(VALUE(MID($R33,5,3)),'CIRS Table Info'!$B$6:$J$425,9,FALSE)="Closed","/CLOSED","")))))</f>
        <v>Blink/Blink</v>
      </c>
      <c r="Q33" s="171"/>
      <c r="R33" s="172">
        <f>VLOOKUP($C33,'CIRS Table IDs'!$B:$P,14,FALSE)</f>
        <v>541</v>
      </c>
      <c r="S33" s="410">
        <v>1582.2669679999999</v>
      </c>
      <c r="T33" s="411">
        <v>96.338736999999995</v>
      </c>
    </row>
    <row r="34" spans="1:24" ht="15.75" x14ac:dyDescent="0.25">
      <c r="A34" s="526"/>
      <c r="B34" s="526">
        <v>25</v>
      </c>
      <c r="C34" s="527" t="s">
        <v>406</v>
      </c>
      <c r="D34" s="528">
        <f t="shared" si="0"/>
        <v>42704</v>
      </c>
      <c r="E34" s="529">
        <v>2016</v>
      </c>
      <c r="F34" s="529">
        <v>335</v>
      </c>
      <c r="G34" s="530">
        <v>0.30175925925925901</v>
      </c>
      <c r="H34" s="531">
        <v>0.16666666666666699</v>
      </c>
      <c r="I34" s="532">
        <v>0</v>
      </c>
      <c r="J34" s="533">
        <f t="shared" si="1"/>
        <v>42704</v>
      </c>
      <c r="K34" s="529">
        <v>2016</v>
      </c>
      <c r="L34" s="529">
        <v>335</v>
      </c>
      <c r="M34" s="534">
        <v>0.46842592592592602</v>
      </c>
      <c r="N34" s="535" t="s">
        <v>307</v>
      </c>
      <c r="O34" s="536">
        <f>IF(VALUE(LEFT($R34,3))&lt;192,"",IF(VALUE(LEFT($R34,3))&gt;597,"",VLOOKUP(VALUE(LEFT($R34,3)),'CIRS Table Info'!$B$6:$J$425,2,FALSE)))</f>
        <v>0.53</v>
      </c>
      <c r="P34" s="537" t="str">
        <f>IF(MID(R34,5,3)="",IF(VALUE(LEFT($R34,3))&lt;192,"",IF(VALUE(LEFT($R34,3))&gt;597,"",CONCATENATE(VLOOKUP(VALUE(LEFT($R34,3)),'CIRS Table Info'!$B$6:$J$425,6,FALSE),"/",VLOOKUP(VALUE(LEFT($R34,3)),'CIRS Table Info'!$B$6:$J$425,8,FALSE),IF(VLOOKUP(VALUE(LEFT($R34,3)),'CIRS Table Info'!$B$6:$J$425,9,FALSE)="Closed","/CLOSED","")))),IF(VALUE(MID($R34,5,3))&lt;192,"",IF(VALUE(MID($R34,5,3))&gt;597,"",CONCATENATE(VLOOKUP(VALUE(MID($R34,5,3)),'CIRS Table Info'!$B$6:$J$425,6,FALSE),"/",VLOOKUP(VALUE(MID($R34,5,3)),'CIRS Table Info'!$B$6:$J$425,8,FALSE),IF(VLOOKUP(VALUE(MID($R34,5,3)),'CIRS Table Info'!$B$6:$J$425,9,FALSE)="Closed","/CLOSED","")))))</f>
        <v>Blink/Blink</v>
      </c>
      <c r="Q34" s="538"/>
      <c r="R34" s="539">
        <f>VLOOKUP($C34,'CIRS Table IDs'!$B:$P,14,FALSE)</f>
        <v>591</v>
      </c>
      <c r="S34" s="540">
        <v>1536.37085</v>
      </c>
      <c r="T34" s="411">
        <v>2.7930890000000002</v>
      </c>
    </row>
    <row r="35" spans="1:24" ht="15.75" x14ac:dyDescent="0.25">
      <c r="A35" s="526"/>
      <c r="B35" s="526">
        <v>26</v>
      </c>
      <c r="C35" s="527" t="s">
        <v>407</v>
      </c>
      <c r="D35" s="528">
        <f t="shared" si="0"/>
        <v>42704</v>
      </c>
      <c r="E35" s="529">
        <v>2016</v>
      </c>
      <c r="F35" s="529">
        <v>335</v>
      </c>
      <c r="G35" s="530">
        <v>0.46842592592592602</v>
      </c>
      <c r="H35" s="531">
        <v>0.27324074074074101</v>
      </c>
      <c r="I35" s="532">
        <v>0</v>
      </c>
      <c r="J35" s="533">
        <f t="shared" si="1"/>
        <v>42704</v>
      </c>
      <c r="K35" s="529">
        <v>2016</v>
      </c>
      <c r="L35" s="529">
        <v>335</v>
      </c>
      <c r="M35" s="534">
        <v>0.74166666666666703</v>
      </c>
      <c r="N35" s="535" t="s">
        <v>308</v>
      </c>
      <c r="O35" s="536">
        <f>IF(VALUE(LEFT($R35,3))&lt;192,"",IF(VALUE(LEFT($R35,3))&gt;597,"",VLOOKUP(VALUE(LEFT($R35,3)),'CIRS Table Info'!$B$6:$J$425,2,FALSE)))</f>
        <v>2.85</v>
      </c>
      <c r="P35" s="537" t="str">
        <f>IF(MID(R35,5,3)="",IF(VALUE(LEFT($R35,3))&lt;192,"",IF(VALUE(LEFT($R35,3))&gt;597,"",CONCATENATE(VLOOKUP(VALUE(LEFT($R35,3)),'CIRS Table Info'!$B$6:$J$425,6,FALSE),"/",VLOOKUP(VALUE(LEFT($R35,3)),'CIRS Table Info'!$B$6:$J$425,8,FALSE),IF(VLOOKUP(VALUE(LEFT($R35,3)),'CIRS Table Info'!$B$6:$J$425,9,FALSE)="Closed","/CLOSED","")))),IF(VALUE(MID($R35,5,3))&lt;192,"",IF(VALUE(MID($R35,5,3))&gt;597,"",CONCATENATE(VLOOKUP(VALUE(MID($R35,5,3)),'CIRS Table Info'!$B$6:$J$425,6,FALSE),"/",VLOOKUP(VALUE(MID($R35,5,3)),'CIRS Table Info'!$B$6:$J$425,8,FALSE),IF(VLOOKUP(VALUE(MID($R35,5,3)),'CIRS Table Info'!$B$6:$J$425,9,FALSE)="Closed","/CLOSED","")))))</f>
        <v>Blink/Blink</v>
      </c>
      <c r="Q35" s="538"/>
      <c r="R35" s="539">
        <f>VLOOKUP($C35,'CIRS Table IDs'!$B:$P,14,FALSE)</f>
        <v>473</v>
      </c>
      <c r="S35" s="540">
        <v>1423.2310789999999</v>
      </c>
      <c r="T35" s="411">
        <v>2.0943679999999998</v>
      </c>
      <c r="W35" s="49"/>
      <c r="X35" s="49"/>
    </row>
    <row r="36" spans="1:24" x14ac:dyDescent="0.2">
      <c r="A36" s="477">
        <v>5</v>
      </c>
      <c r="B36" s="477">
        <v>27</v>
      </c>
      <c r="C36" s="478" t="s">
        <v>409</v>
      </c>
      <c r="D36" s="479">
        <f t="shared" si="0"/>
        <v>42704</v>
      </c>
      <c r="E36" s="480">
        <v>2016</v>
      </c>
      <c r="F36" s="480">
        <v>335</v>
      </c>
      <c r="G36" s="481">
        <v>0.88402777777777797</v>
      </c>
      <c r="H36" s="482">
        <v>0.375</v>
      </c>
      <c r="I36" s="483">
        <v>0.125</v>
      </c>
      <c r="J36" s="484">
        <f t="shared" si="1"/>
        <v>42705</v>
      </c>
      <c r="K36" s="480">
        <v>2016</v>
      </c>
      <c r="L36" s="480">
        <v>336</v>
      </c>
      <c r="M36" s="485">
        <v>0.38402777777777802</v>
      </c>
      <c r="N36" s="501">
        <v>3000</v>
      </c>
      <c r="O36" s="486" t="str">
        <f>IF(VALUE(LEFT($R36,3))&lt;192,"",IF(VALUE(LEFT($R36,3))&gt;597,"",VLOOKUP(VALUE(LEFT($R36,3)),'CIRS Table Info'!$B$6:$J$425,2,FALSE)))</f>
        <v/>
      </c>
      <c r="P36" s="498" t="str">
        <f>IF(MID(R36,5,3)="",IF(VALUE(LEFT($R36,3))&lt;192,"",IF(VALUE(LEFT($R36,3))&gt;597,"",CONCATENATE(VLOOKUP(VALUE(LEFT($R36,3)),'CIRS Table Info'!$B$6:$J$425,6,FALSE),"/",VLOOKUP(VALUE(LEFT($R36,3)),'CIRS Table Info'!$B$6:$J$425,8,FALSE),IF(VLOOKUP(VALUE(LEFT($R36,3)),'CIRS Table Info'!$B$6:$J$425,9,FALSE)="Closed","/CLOSED","")))),IF(VALUE(MID($R36,5,3))&lt;192,"",IF(VALUE(MID($R36,5,3))&gt;597,"",CONCATENATE(VLOOKUP(VALUE(MID($R36,5,3)),'CIRS Table Info'!$B$6:$J$425,6,FALSE),"/",VLOOKUP(VALUE(MID($R36,5,3)),'CIRS Table Info'!$B$6:$J$425,8,FALSE),IF(VLOOKUP(VALUE(MID($R36,5,3)),'CIRS Table Info'!$B$6:$J$425,9,FALSE)="Closed","/CLOSED","")))))</f>
        <v/>
      </c>
      <c r="Q36" s="487"/>
      <c r="R36" s="488">
        <f>VLOOKUP($C36,'CIRS Table IDs'!$B:$P,14,FALSE)</f>
        <v>776</v>
      </c>
      <c r="S36" s="489">
        <v>1389.8402100000001</v>
      </c>
      <c r="T36" s="490">
        <v>80.516171</v>
      </c>
    </row>
    <row r="37" spans="1:24" x14ac:dyDescent="0.2">
      <c r="A37" s="21"/>
      <c r="B37" s="21">
        <v>28</v>
      </c>
      <c r="C37" s="45" t="s">
        <v>410</v>
      </c>
      <c r="D37" s="35">
        <f t="shared" si="0"/>
        <v>42705</v>
      </c>
      <c r="E37" s="36">
        <v>2016</v>
      </c>
      <c r="F37" s="36">
        <v>336</v>
      </c>
      <c r="G37" s="161">
        <v>0.41180555555555598</v>
      </c>
      <c r="H37" s="392">
        <v>0.34583333333333299</v>
      </c>
      <c r="I37" s="393">
        <v>0</v>
      </c>
      <c r="J37" s="164">
        <f t="shared" si="1"/>
        <v>42705</v>
      </c>
      <c r="K37" s="36">
        <v>2016</v>
      </c>
      <c r="L37" s="36">
        <v>336</v>
      </c>
      <c r="M37" s="37">
        <v>0.75763888888888897</v>
      </c>
      <c r="N37" s="499" t="s">
        <v>308</v>
      </c>
      <c r="O37" s="367">
        <f>IF(VALUE(LEFT($R37,3))&lt;192,"",IF(VALUE(LEFT($R37,3))&gt;597,"",VLOOKUP(VALUE(LEFT($R37,3)),'CIRS Table Info'!$B$6:$J$425,2,FALSE)))</f>
        <v>0.53</v>
      </c>
      <c r="P37" s="497" t="str">
        <f>IF(MID(R37,5,3)="",IF(VALUE(LEFT($R37,3))&lt;192,"",IF(VALUE(LEFT($R37,3))&gt;597,"",CONCATENATE(VLOOKUP(VALUE(LEFT($R37,3)),'CIRS Table Info'!$B$6:$J$425,6,FALSE),"/",VLOOKUP(VALUE(LEFT($R37,3)),'CIRS Table Info'!$B$6:$J$425,8,FALSE),IF(VLOOKUP(VALUE(LEFT($R37,3)),'CIRS Table Info'!$B$6:$J$425,9,FALSE)="Closed","/CLOSED","")))),IF(VALUE(MID($R37,5,3))&lt;192,"",IF(VALUE(MID($R37,5,3))&gt;597,"",CONCATENATE(VLOOKUP(VALUE(MID($R37,5,3)),'CIRS Table Info'!$B$6:$J$425,6,FALSE),"/",VLOOKUP(VALUE(MID($R37,5,3)),'CIRS Table Info'!$B$6:$J$425,8,FALSE),IF(VLOOKUP(VALUE(MID($R37,5,3)),'CIRS Table Info'!$B$6:$J$425,9,FALSE)="Closed","/CLOSED","")))))</f>
        <v>Pairs/Pairs</v>
      </c>
      <c r="Q37" s="171"/>
      <c r="R37" s="172" t="str">
        <f>VLOOKUP($C37,'CIRS Table IDs'!$B:$P,14,FALSE)</f>
        <v>297,294,297</v>
      </c>
      <c r="S37" s="410">
        <v>1365.5576169999999</v>
      </c>
      <c r="T37" s="411">
        <v>97.578973000000005</v>
      </c>
    </row>
    <row r="38" spans="1:24" x14ac:dyDescent="0.2">
      <c r="A38" s="477">
        <v>6</v>
      </c>
      <c r="B38" s="477">
        <v>29</v>
      </c>
      <c r="C38" s="478" t="s">
        <v>412</v>
      </c>
      <c r="D38" s="479">
        <f t="shared" si="0"/>
        <v>42705</v>
      </c>
      <c r="E38" s="480">
        <v>2016</v>
      </c>
      <c r="F38" s="480">
        <v>336</v>
      </c>
      <c r="G38" s="481">
        <v>0.88958333333333295</v>
      </c>
      <c r="H38" s="482">
        <v>0.25</v>
      </c>
      <c r="I38" s="483">
        <v>8.3333333333333301E-2</v>
      </c>
      <c r="J38" s="484">
        <f t="shared" si="1"/>
        <v>42706</v>
      </c>
      <c r="K38" s="480">
        <v>2016</v>
      </c>
      <c r="L38" s="480">
        <v>337</v>
      </c>
      <c r="M38" s="485">
        <v>0.22291666666666701</v>
      </c>
      <c r="N38" s="501">
        <v>3000</v>
      </c>
      <c r="O38" s="486" t="str">
        <f>IF(VALUE(LEFT($R38,3))&lt;192,"",IF(VALUE(LEFT($R38,3))&gt;597,"",VLOOKUP(VALUE(LEFT($R38,3)),'CIRS Table Info'!$B$6:$J$425,2,FALSE)))</f>
        <v/>
      </c>
      <c r="P38" s="498" t="str">
        <f>IF(MID(R38,5,3)="",IF(VALUE(LEFT($R38,3))&lt;192,"",IF(VALUE(LEFT($R38,3))&gt;597,"",CONCATENATE(VLOOKUP(VALUE(LEFT($R38,3)),'CIRS Table Info'!$B$6:$J$425,6,FALSE),"/",VLOOKUP(VALUE(LEFT($R38,3)),'CIRS Table Info'!$B$6:$J$425,8,FALSE),IF(VLOOKUP(VALUE(LEFT($R38,3)),'CIRS Table Info'!$B$6:$J$425,9,FALSE)="Closed","/CLOSED","")))),IF(VALUE(MID($R38,5,3))&lt;192,"",IF(VALUE(MID($R38,5,3))&gt;597,"",CONCATENATE(VLOOKUP(VALUE(MID($R38,5,3)),'CIRS Table Info'!$B$6:$J$425,6,FALSE),"/",VLOOKUP(VALUE(MID($R38,5,3)),'CIRS Table Info'!$B$6:$J$425,8,FALSE),IF(VLOOKUP(VALUE(MID($R38,5,3)),'CIRS Table Info'!$B$6:$J$425,9,FALSE)="Closed","/CLOSED","")))))</f>
        <v/>
      </c>
      <c r="Q38" s="487"/>
      <c r="R38" s="488">
        <f>VLOOKUP($C38,'CIRS Table IDs'!$B:$P,14,FALSE)</f>
        <v>778</v>
      </c>
      <c r="S38" s="489">
        <v>1392.807251</v>
      </c>
      <c r="T38" s="490">
        <v>72.960633000000001</v>
      </c>
      <c r="V38" s="49"/>
      <c r="W38" s="49"/>
    </row>
    <row r="39" spans="1:24" x14ac:dyDescent="0.2">
      <c r="A39" s="21"/>
      <c r="B39" s="21">
        <v>30</v>
      </c>
      <c r="C39" s="45" t="s">
        <v>413</v>
      </c>
      <c r="D39" s="35">
        <f t="shared" si="0"/>
        <v>42706</v>
      </c>
      <c r="E39" s="36">
        <v>2016</v>
      </c>
      <c r="F39" s="36">
        <v>337</v>
      </c>
      <c r="G39" s="161">
        <v>0.250694444444444</v>
      </c>
      <c r="H39" s="392">
        <v>0.48055555555555601</v>
      </c>
      <c r="I39" s="393">
        <v>0</v>
      </c>
      <c r="J39" s="164">
        <f t="shared" si="1"/>
        <v>42706</v>
      </c>
      <c r="K39" s="36">
        <v>2016</v>
      </c>
      <c r="L39" s="36">
        <v>337</v>
      </c>
      <c r="M39" s="37">
        <v>0.73124999999999996</v>
      </c>
      <c r="N39" s="499" t="s">
        <v>307</v>
      </c>
      <c r="O39" s="367">
        <f>IF(VALUE(LEFT($R39,3))&lt;192,"",IF(VALUE(LEFT($R39,3))&gt;597,"",VLOOKUP(VALUE(LEFT($R39,3)),'CIRS Table Info'!$B$6:$J$425,2,FALSE)))</f>
        <v>2.85</v>
      </c>
      <c r="P39" s="497" t="str">
        <f>IF(MID(R39,5,3)="",IF(VALUE(LEFT($R39,3))&lt;192,"",IF(VALUE(LEFT($R39,3))&gt;597,"",CONCATENATE(VLOOKUP(VALUE(LEFT($R39,3)),'CIRS Table Info'!$B$6:$J$425,6,FALSE),"/",VLOOKUP(VALUE(LEFT($R39,3)),'CIRS Table Info'!$B$6:$J$425,8,FALSE),IF(VLOOKUP(VALUE(LEFT($R39,3)),'CIRS Table Info'!$B$6:$J$425,9,FALSE)="Closed","/CLOSED","")))),IF(VALUE(MID($R39,5,3))&lt;192,"",IF(VALUE(MID($R39,5,3))&gt;597,"",CONCATENATE(VLOOKUP(VALUE(MID($R39,5,3)),'CIRS Table Info'!$B$6:$J$425,6,FALSE),"/",VLOOKUP(VALUE(MID($R39,5,3)),'CIRS Table Info'!$B$6:$J$425,8,FALSE),IF(VLOOKUP(VALUE(MID($R39,5,3)),'CIRS Table Info'!$B$6:$J$425,9,FALSE)="Closed","/CLOSED","")))))</f>
        <v>Pairs/Pairs</v>
      </c>
      <c r="Q39" s="171"/>
      <c r="R39" s="172" t="str">
        <f>VLOOKUP($C39,'CIRS Table IDs'!$B:$P,14,FALSE)</f>
        <v>235,232,235</v>
      </c>
      <c r="S39" s="410">
        <v>1495.3592530000001</v>
      </c>
      <c r="T39" s="411">
        <v>89.897024999999999</v>
      </c>
    </row>
    <row r="40" spans="1:24" x14ac:dyDescent="0.2">
      <c r="A40" s="21"/>
      <c r="B40" s="21">
        <v>31</v>
      </c>
      <c r="C40" s="45" t="s">
        <v>415</v>
      </c>
      <c r="D40" s="35">
        <f t="shared" ref="D40:D71" si="2">DATE(E40,1,F40)</f>
        <v>42706</v>
      </c>
      <c r="E40" s="36">
        <v>2016</v>
      </c>
      <c r="F40" s="36">
        <v>337</v>
      </c>
      <c r="G40" s="161">
        <v>0.73124999999999996</v>
      </c>
      <c r="H40" s="392">
        <v>0.20833333333333301</v>
      </c>
      <c r="I40" s="393">
        <v>0</v>
      </c>
      <c r="J40" s="164">
        <f t="shared" si="1"/>
        <v>42706</v>
      </c>
      <c r="K40" s="36">
        <v>2016</v>
      </c>
      <c r="L40" s="36">
        <v>337</v>
      </c>
      <c r="M40" s="37">
        <v>0.93958333333333299</v>
      </c>
      <c r="N40" s="499" t="s">
        <v>308</v>
      </c>
      <c r="O40" s="367">
        <f>IF(VALUE(LEFT($R40,3))&lt;192,"",IF(VALUE(LEFT($R40,3))&gt;597,"",VLOOKUP(VALUE(LEFT($R40,3)),'CIRS Table Info'!$B$6:$J$425,2,FALSE)))</f>
        <v>2.85</v>
      </c>
      <c r="P40" s="497" t="str">
        <f>IF(MID(R40,5,3)="",IF(VALUE(LEFT($R40,3))&lt;192,"",IF(VALUE(LEFT($R40,3))&gt;597,"",CONCATENATE(VLOOKUP(VALUE(LEFT($R40,3)),'CIRS Table Info'!$B$6:$J$425,6,FALSE),"/",VLOOKUP(VALUE(LEFT($R40,3)),'CIRS Table Info'!$B$6:$J$425,8,FALSE),IF(VLOOKUP(VALUE(LEFT($R40,3)),'CIRS Table Info'!$B$6:$J$425,9,FALSE)="Closed","/CLOSED","")))),IF(VALUE(MID($R40,5,3))&lt;192,"",IF(VALUE(MID($R40,5,3))&gt;597,"",CONCATENATE(VLOOKUP(VALUE(MID($R40,5,3)),'CIRS Table Info'!$B$6:$J$425,6,FALSE),"/",VLOOKUP(VALUE(MID($R40,5,3)),'CIRS Table Info'!$B$6:$J$425,8,FALSE),IF(VLOOKUP(VALUE(MID($R40,5,3)),'CIRS Table Info'!$B$6:$J$425,9,FALSE)="Closed","/CLOSED","")))))</f>
        <v>Pairs/Pairs</v>
      </c>
      <c r="Q40" s="171"/>
      <c r="R40" s="172">
        <f>VLOOKUP($C40,'CIRS Table IDs'!$B:$P,14,FALSE)</f>
        <v>572</v>
      </c>
      <c r="S40" s="410">
        <v>1159.705811</v>
      </c>
      <c r="T40" s="411">
        <v>99.965774999999994</v>
      </c>
      <c r="V40" s="49"/>
      <c r="W40" s="49"/>
      <c r="X40" s="49"/>
    </row>
    <row r="41" spans="1:24" x14ac:dyDescent="0.2">
      <c r="A41" s="477">
        <v>7</v>
      </c>
      <c r="B41" s="477">
        <v>32</v>
      </c>
      <c r="C41" s="478" t="s">
        <v>416</v>
      </c>
      <c r="D41" s="479">
        <f t="shared" si="2"/>
        <v>42707</v>
      </c>
      <c r="E41" s="480">
        <v>2016</v>
      </c>
      <c r="F41" s="480">
        <v>338</v>
      </c>
      <c r="G41" s="481">
        <v>0.21736111111111101</v>
      </c>
      <c r="H41" s="482">
        <v>0.40625</v>
      </c>
      <c r="I41" s="483">
        <v>0</v>
      </c>
      <c r="J41" s="484">
        <f t="shared" ref="J41:J72" si="3">DATE(K41,1,L41)</f>
        <v>42707</v>
      </c>
      <c r="K41" s="480">
        <v>2016</v>
      </c>
      <c r="L41" s="480">
        <v>338</v>
      </c>
      <c r="M41" s="485">
        <v>0.62361111111111101</v>
      </c>
      <c r="N41" s="500" t="s">
        <v>308</v>
      </c>
      <c r="O41" s="486" t="str">
        <f>IF(VALUE(LEFT($R41,3))&lt;192,"",IF(VALUE(LEFT($R41,3))&gt;597,"",VLOOKUP(VALUE(LEFT($R41,3)),'CIRS Table Info'!$B$6:$J$425,2,FALSE)))</f>
        <v/>
      </c>
      <c r="P41" s="498" t="str">
        <f>IF(MID(R41,5,3)="",IF(VALUE(LEFT($R41,3))&lt;192,"",IF(VALUE(LEFT($R41,3))&gt;597,"",CONCATENATE(VLOOKUP(VALUE(LEFT($R41,3)),'CIRS Table Info'!$B$6:$J$425,6,FALSE),"/",VLOOKUP(VALUE(LEFT($R41,3)),'CIRS Table Info'!$B$6:$J$425,8,FALSE),IF(VLOOKUP(VALUE(LEFT($R41,3)),'CIRS Table Info'!$B$6:$J$425,9,FALSE)="Closed","/CLOSED","")))),IF(VALUE(MID($R41,5,3))&lt;192,"",IF(VALUE(MID($R41,5,3))&gt;597,"",CONCATENATE(VLOOKUP(VALUE(MID($R41,5,3)),'CIRS Table Info'!$B$6:$J$425,6,FALSE),"/",VLOOKUP(VALUE(MID($R41,5,3)),'CIRS Table Info'!$B$6:$J$425,8,FALSE),IF(VLOOKUP(VALUE(MID($R41,5,3)),'CIRS Table Info'!$B$6:$J$425,9,FALSE)="Closed","/CLOSED","")))))</f>
        <v/>
      </c>
      <c r="Q41" s="487"/>
      <c r="R41" s="488">
        <f>VLOOKUP($C41,'CIRS Table IDs'!$B:$P,14,FALSE)</f>
        <v>781</v>
      </c>
      <c r="S41" s="489">
        <v>913.30810499999995</v>
      </c>
      <c r="T41" s="490">
        <v>100</v>
      </c>
    </row>
    <row r="42" spans="1:24" x14ac:dyDescent="0.2">
      <c r="A42" s="21"/>
      <c r="B42" s="21">
        <v>33</v>
      </c>
      <c r="C42" s="45" t="s">
        <v>417</v>
      </c>
      <c r="D42" s="35">
        <f t="shared" si="2"/>
        <v>42707</v>
      </c>
      <c r="E42" s="36">
        <v>2016</v>
      </c>
      <c r="F42" s="36">
        <v>338</v>
      </c>
      <c r="G42" s="161">
        <v>0.65138888888888902</v>
      </c>
      <c r="H42" s="392">
        <v>0.375</v>
      </c>
      <c r="I42" s="393">
        <v>0</v>
      </c>
      <c r="J42" s="164">
        <f t="shared" si="3"/>
        <v>42708</v>
      </c>
      <c r="K42" s="36">
        <v>2016</v>
      </c>
      <c r="L42" s="36">
        <v>339</v>
      </c>
      <c r="M42" s="37">
        <v>2.6388888888888899E-2</v>
      </c>
      <c r="N42" s="499" t="s">
        <v>308</v>
      </c>
      <c r="O42" s="367">
        <f>IF(VALUE(LEFT($R42,3))&lt;192,"",IF(VALUE(LEFT($R42,3))&gt;597,"",VLOOKUP(VALUE(LEFT($R42,3)),'CIRS Table Info'!$B$6:$J$425,2,FALSE)))</f>
        <v>2.85</v>
      </c>
      <c r="P42" s="497" t="str">
        <f>IF(MID(R42,5,3)="",IF(VALUE(LEFT($R42,3))&lt;192,"",IF(VALUE(LEFT($R42,3))&gt;597,"",CONCATENATE(VLOOKUP(VALUE(LEFT($R42,3)),'CIRS Table Info'!$B$6:$J$425,6,FALSE),"/",VLOOKUP(VALUE(LEFT($R42,3)),'CIRS Table Info'!$B$6:$J$425,8,FALSE),IF(VLOOKUP(VALUE(LEFT($R42,3)),'CIRS Table Info'!$B$6:$J$425,9,FALSE)="Closed","/CLOSED","")))),IF(VALUE(MID($R42,5,3))&lt;192,"",IF(VALUE(MID($R42,5,3))&gt;597,"",CONCATENATE(VLOOKUP(VALUE(MID($R42,5,3)),'CIRS Table Info'!$B$6:$J$425,6,FALSE),"/",VLOOKUP(VALUE(MID($R42,5,3)),'CIRS Table Info'!$B$6:$J$425,8,FALSE),IF(VLOOKUP(VALUE(MID($R42,5,3)),'CIRS Table Info'!$B$6:$J$425,9,FALSE)="Closed","/CLOSED","")))))</f>
        <v>Pairs/Pairs</v>
      </c>
      <c r="Q42" s="171"/>
      <c r="R42" s="172">
        <f>VLOOKUP($C42,'CIRS Table IDs'!$B:$P,14,FALSE)</f>
        <v>572</v>
      </c>
      <c r="S42" s="410">
        <v>1449.564087</v>
      </c>
      <c r="T42" s="411">
        <v>99.523413000000005</v>
      </c>
      <c r="V42" s="49"/>
      <c r="W42" s="49"/>
    </row>
    <row r="43" spans="1:24" x14ac:dyDescent="0.2">
      <c r="A43" s="477">
        <v>8</v>
      </c>
      <c r="B43" s="477">
        <v>34</v>
      </c>
      <c r="C43" s="478" t="s">
        <v>418</v>
      </c>
      <c r="D43" s="479">
        <f t="shared" si="2"/>
        <v>42708</v>
      </c>
      <c r="E43" s="480">
        <v>2016</v>
      </c>
      <c r="F43" s="480">
        <v>339</v>
      </c>
      <c r="G43" s="481">
        <v>0.42569444444444399</v>
      </c>
      <c r="H43" s="482">
        <v>0.1484375</v>
      </c>
      <c r="I43" s="483">
        <v>4.9479166666666699E-2</v>
      </c>
      <c r="J43" s="484">
        <f t="shared" si="3"/>
        <v>42708</v>
      </c>
      <c r="K43" s="480">
        <v>2016</v>
      </c>
      <c r="L43" s="480">
        <v>339</v>
      </c>
      <c r="M43" s="485">
        <v>0.62361111111111101</v>
      </c>
      <c r="N43" s="501">
        <v>3000</v>
      </c>
      <c r="O43" s="486" t="str">
        <f>IF(VALUE(LEFT($R43,3))&lt;192,"",IF(VALUE(LEFT($R43,3))&gt;597,"",VLOOKUP(VALUE(LEFT($R43,3)),'CIRS Table Info'!$B$6:$J$425,2,FALSE)))</f>
        <v/>
      </c>
      <c r="P43" s="498" t="str">
        <f>IF(MID(R43,5,3)="",IF(VALUE(LEFT($R43,3))&lt;192,"",IF(VALUE(LEFT($R43,3))&gt;597,"",CONCATENATE(VLOOKUP(VALUE(LEFT($R43,3)),'CIRS Table Info'!$B$6:$J$425,6,FALSE),"/",VLOOKUP(VALUE(LEFT($R43,3)),'CIRS Table Info'!$B$6:$J$425,8,FALSE),IF(VLOOKUP(VALUE(LEFT($R43,3)),'CIRS Table Info'!$B$6:$J$425,9,FALSE)="Closed","/CLOSED","")))),IF(VALUE(MID($R43,5,3))&lt;192,"",IF(VALUE(MID($R43,5,3))&gt;597,"",CONCATENATE(VLOOKUP(VALUE(MID($R43,5,3)),'CIRS Table Info'!$B$6:$J$425,6,FALSE),"/",VLOOKUP(VALUE(MID($R43,5,3)),'CIRS Table Info'!$B$6:$J$425,8,FALSE),IF(VLOOKUP(VALUE(MID($R43,5,3)),'CIRS Table Info'!$B$6:$J$425,9,FALSE)="Closed","/CLOSED","")))))</f>
        <v/>
      </c>
      <c r="Q43" s="487"/>
      <c r="R43" s="488">
        <f>VLOOKUP($C43,'CIRS Table IDs'!$B:$P,14,FALSE)</f>
        <v>783</v>
      </c>
      <c r="S43" s="489">
        <v>1086.992798</v>
      </c>
      <c r="T43" s="490">
        <v>99.931228000000004</v>
      </c>
      <c r="V43" s="49"/>
      <c r="W43" s="49"/>
    </row>
    <row r="44" spans="1:24" x14ac:dyDescent="0.2">
      <c r="A44" s="21"/>
      <c r="B44" s="21">
        <v>35</v>
      </c>
      <c r="C44" s="45" t="s">
        <v>419</v>
      </c>
      <c r="D44" s="35">
        <f t="shared" si="2"/>
        <v>42708</v>
      </c>
      <c r="E44" s="36">
        <v>2016</v>
      </c>
      <c r="F44" s="36">
        <v>339</v>
      </c>
      <c r="G44" s="161">
        <v>0.62361111111111101</v>
      </c>
      <c r="H44" s="392">
        <v>0.17708333333333301</v>
      </c>
      <c r="I44" s="393">
        <v>0</v>
      </c>
      <c r="J44" s="164">
        <f t="shared" si="3"/>
        <v>42708</v>
      </c>
      <c r="K44" s="36">
        <v>2016</v>
      </c>
      <c r="L44" s="36">
        <v>339</v>
      </c>
      <c r="M44" s="37">
        <v>0.80069444444444404</v>
      </c>
      <c r="N44" s="499" t="s">
        <v>307</v>
      </c>
      <c r="O44" s="367">
        <v>15.67</v>
      </c>
      <c r="P44" s="497" t="s">
        <v>680</v>
      </c>
      <c r="Q44" s="171"/>
      <c r="R44" s="172">
        <f>VLOOKUP($C44,'CIRS Table IDs'!$B:$P,14,FALSE)</f>
        <v>784</v>
      </c>
      <c r="S44" s="410">
        <v>1843.898193</v>
      </c>
      <c r="T44" s="411">
        <v>97.621250000000003</v>
      </c>
      <c r="V44" s="49"/>
      <c r="W44" s="49"/>
      <c r="X44" s="49"/>
    </row>
    <row r="45" spans="1:24" x14ac:dyDescent="0.2">
      <c r="A45" s="477">
        <v>9</v>
      </c>
      <c r="B45" s="477">
        <v>36</v>
      </c>
      <c r="C45" s="478" t="s">
        <v>422</v>
      </c>
      <c r="D45" s="479">
        <f t="shared" si="2"/>
        <v>42708</v>
      </c>
      <c r="E45" s="480">
        <v>2016</v>
      </c>
      <c r="F45" s="480">
        <v>339</v>
      </c>
      <c r="G45" s="481">
        <v>0.84236111111111101</v>
      </c>
      <c r="H45" s="482">
        <v>0.125</v>
      </c>
      <c r="I45" s="483">
        <v>0.20833333333333301</v>
      </c>
      <c r="J45" s="484">
        <f t="shared" si="3"/>
        <v>42709</v>
      </c>
      <c r="K45" s="480">
        <v>2016</v>
      </c>
      <c r="L45" s="480">
        <v>340</v>
      </c>
      <c r="M45" s="485">
        <v>0.17569444444444399</v>
      </c>
      <c r="N45" s="501">
        <v>1500</v>
      </c>
      <c r="O45" s="486" t="str">
        <f>IF(VALUE(LEFT($R45,3))&lt;192,"",IF(VALUE(LEFT($R45,3))&gt;597,"",VLOOKUP(VALUE(LEFT($R45,3)),'CIRS Table Info'!$B$6:$J$425,2,FALSE)))</f>
        <v/>
      </c>
      <c r="P45" s="498" t="str">
        <f>IF(MID(R45,5,3)="",IF(VALUE(LEFT($R45,3))&lt;192,"",IF(VALUE(LEFT($R45,3))&gt;597,"",CONCATENATE(VLOOKUP(VALUE(LEFT($R45,3)),'CIRS Table Info'!$B$6:$J$425,6,FALSE),"/",VLOOKUP(VALUE(LEFT($R45,3)),'CIRS Table Info'!$B$6:$J$425,8,FALSE),IF(VLOOKUP(VALUE(LEFT($R45,3)),'CIRS Table Info'!$B$6:$J$425,9,FALSE)="Closed","/CLOSED","")))),IF(VALUE(MID($R45,5,3))&lt;192,"",IF(VALUE(MID($R45,5,3))&gt;597,"",CONCATENATE(VLOOKUP(VALUE(MID($R45,5,3)),'CIRS Table Info'!$B$6:$J$425,6,FALSE),"/",VLOOKUP(VALUE(MID($R45,5,3)),'CIRS Table Info'!$B$6:$J$425,8,FALSE),IF(VLOOKUP(VALUE(MID($R45,5,3)),'CIRS Table Info'!$B$6:$J$425,9,FALSE)="Closed","/CLOSED","")))))</f>
        <v/>
      </c>
      <c r="Q45" s="487"/>
      <c r="R45" s="488">
        <f>VLOOKUP($C45,'CIRS Table IDs'!$B:$P,14,FALSE)</f>
        <v>785</v>
      </c>
      <c r="S45" s="489">
        <v>1595.9361570000001</v>
      </c>
      <c r="T45" s="490">
        <v>53.635907000000003</v>
      </c>
      <c r="V45" s="49"/>
      <c r="W45" s="49"/>
    </row>
    <row r="46" spans="1:24" x14ac:dyDescent="0.2">
      <c r="A46" s="21"/>
      <c r="B46" s="21">
        <v>37</v>
      </c>
      <c r="C46" s="45" t="s">
        <v>423</v>
      </c>
      <c r="D46" s="35">
        <f t="shared" si="2"/>
        <v>42709</v>
      </c>
      <c r="E46" s="36">
        <v>2016</v>
      </c>
      <c r="F46" s="36">
        <v>340</v>
      </c>
      <c r="G46" s="161">
        <v>0.54722222222222205</v>
      </c>
      <c r="H46" s="392">
        <v>4.1666666666666699E-2</v>
      </c>
      <c r="I46" s="393">
        <v>0</v>
      </c>
      <c r="J46" s="164">
        <f t="shared" si="3"/>
        <v>42709</v>
      </c>
      <c r="K46" s="36">
        <v>2016</v>
      </c>
      <c r="L46" s="36">
        <v>340</v>
      </c>
      <c r="M46" s="37">
        <v>0.58888888888888902</v>
      </c>
      <c r="N46" s="499" t="s">
        <v>307</v>
      </c>
      <c r="O46" s="367">
        <f>IF(VALUE(LEFT($R46,3))&lt;192,"",IF(VALUE(LEFT($R46,3))&gt;597,"",VLOOKUP(VALUE(LEFT($R46,3)),'CIRS Table Info'!$B$6:$J$425,2,FALSE)))</f>
        <v>15.67</v>
      </c>
      <c r="P46" s="497" t="s">
        <v>700</v>
      </c>
      <c r="Q46" s="171"/>
      <c r="R46" s="172">
        <f>VLOOKUP($C46,'CIRS Table IDs'!$B:$P,14,FALSE)</f>
        <v>192</v>
      </c>
      <c r="S46" s="410">
        <v>1032.0196530000001</v>
      </c>
      <c r="T46" s="411">
        <v>100</v>
      </c>
    </row>
    <row r="47" spans="1:24" x14ac:dyDescent="0.2">
      <c r="A47" s="21"/>
      <c r="B47" s="21">
        <v>38</v>
      </c>
      <c r="C47" s="45" t="s">
        <v>424</v>
      </c>
      <c r="D47" s="35">
        <f t="shared" si="2"/>
        <v>42709</v>
      </c>
      <c r="E47" s="36">
        <v>2016</v>
      </c>
      <c r="F47" s="36">
        <v>340</v>
      </c>
      <c r="G47" s="161">
        <v>0.58888888888888902</v>
      </c>
      <c r="H47" s="392">
        <v>0.16666666666666699</v>
      </c>
      <c r="I47" s="393">
        <v>0</v>
      </c>
      <c r="J47" s="164">
        <f t="shared" si="3"/>
        <v>42709</v>
      </c>
      <c r="K47" s="36">
        <v>2016</v>
      </c>
      <c r="L47" s="36">
        <v>340</v>
      </c>
      <c r="M47" s="37">
        <v>0.75555555555555598</v>
      </c>
      <c r="N47" s="499" t="s">
        <v>307</v>
      </c>
      <c r="O47" s="367">
        <f>IF(VALUE(LEFT($R47,3))&lt;192,"",IF(VALUE(LEFT($R47,3))&gt;597,"",VLOOKUP(VALUE(LEFT($R47,3)),'CIRS Table Info'!$B$6:$J$425,2,FALSE)))</f>
        <v>2.85</v>
      </c>
      <c r="P47" s="497" t="str">
        <f>IF(MID(R47,5,3)="",IF(VALUE(LEFT($R47,3))&lt;192,"",IF(VALUE(LEFT($R47,3))&gt;597,"",CONCATENATE(VLOOKUP(VALUE(LEFT($R47,3)),'CIRS Table Info'!$B$6:$J$425,6,FALSE),"/",VLOOKUP(VALUE(LEFT($R47,3)),'CIRS Table Info'!$B$6:$J$425,8,FALSE),IF(VLOOKUP(VALUE(LEFT($R47,3)),'CIRS Table Info'!$B$6:$J$425,9,FALSE)="Closed","/CLOSED","")))),IF(VALUE(MID($R47,5,3))&lt;192,"",IF(VALUE(MID($R47,5,3))&gt;597,"",CONCATENATE(VLOOKUP(VALUE(MID($R47,5,3)),'CIRS Table Info'!$B$6:$J$425,6,FALSE),"/",VLOOKUP(VALUE(MID($R47,5,3)),'CIRS Table Info'!$B$6:$J$425,8,FALSE),IF(VLOOKUP(VALUE(MID($R47,5,3)),'CIRS Table Info'!$B$6:$J$425,9,FALSE)="Closed","/CLOSED","")))))</f>
        <v>Centers/Centers</v>
      </c>
      <c r="Q47" s="171"/>
      <c r="R47" s="172" t="str">
        <f>VLOOKUP($C47,'CIRS Table IDs'!$B:$P,14,FALSE)</f>
        <v>234,231,234</v>
      </c>
      <c r="S47" s="410">
        <v>1327.7897949999999</v>
      </c>
      <c r="T47" s="411">
        <v>99.755204000000006</v>
      </c>
      <c r="V47" s="49"/>
      <c r="W47" s="49"/>
    </row>
    <row r="48" spans="1:24" x14ac:dyDescent="0.2">
      <c r="A48" s="477">
        <v>10</v>
      </c>
      <c r="B48" s="477">
        <v>39</v>
      </c>
      <c r="C48" s="478" t="s">
        <v>430</v>
      </c>
      <c r="D48" s="479">
        <f t="shared" si="2"/>
        <v>42709</v>
      </c>
      <c r="E48" s="480">
        <v>2016</v>
      </c>
      <c r="F48" s="480">
        <v>340</v>
      </c>
      <c r="G48" s="481">
        <v>0.87916666666666698</v>
      </c>
      <c r="H48" s="482">
        <v>0.25</v>
      </c>
      <c r="I48" s="483">
        <v>8.3333333333333301E-2</v>
      </c>
      <c r="J48" s="484">
        <f t="shared" si="3"/>
        <v>42710</v>
      </c>
      <c r="K48" s="480">
        <v>2016</v>
      </c>
      <c r="L48" s="480">
        <v>341</v>
      </c>
      <c r="M48" s="485">
        <v>0.21249999999999999</v>
      </c>
      <c r="N48" s="501">
        <v>3000</v>
      </c>
      <c r="O48" s="486" t="str">
        <f>IF(VALUE(LEFT($R48,3))&lt;192,"",IF(VALUE(LEFT($R48,3))&gt;597,"",VLOOKUP(VALUE(LEFT($R48,3)),'CIRS Table Info'!$B$6:$J$425,2,FALSE)))</f>
        <v/>
      </c>
      <c r="P48" s="498" t="str">
        <f>IF(MID(R48,5,3)="",IF(VALUE(LEFT($R48,3))&lt;192,"",IF(VALUE(LEFT($R48,3))&gt;597,"",CONCATENATE(VLOOKUP(VALUE(LEFT($R48,3)),'CIRS Table Info'!$B$6:$J$425,6,FALSE),"/",VLOOKUP(VALUE(LEFT($R48,3)),'CIRS Table Info'!$B$6:$J$425,8,FALSE),IF(VLOOKUP(VALUE(LEFT($R48,3)),'CIRS Table Info'!$B$6:$J$425,9,FALSE)="Closed","/CLOSED","")))),IF(VALUE(MID($R48,5,3))&lt;192,"",IF(VALUE(MID($R48,5,3))&gt;597,"",CONCATENATE(VLOOKUP(VALUE(MID($R48,5,3)),'CIRS Table Info'!$B$6:$J$425,6,FALSE),"/",VLOOKUP(VALUE(MID($R48,5,3)),'CIRS Table Info'!$B$6:$J$425,8,FALSE),IF(VLOOKUP(VALUE(MID($R48,5,3)),'CIRS Table Info'!$B$6:$J$425,9,FALSE)="Closed","/CLOSED","")))))</f>
        <v/>
      </c>
      <c r="Q48" s="487"/>
      <c r="R48" s="488">
        <f>VLOOKUP($C48,'CIRS Table IDs'!$B:$P,14,FALSE)</f>
        <v>788</v>
      </c>
      <c r="S48" s="489">
        <v>878.19274900000005</v>
      </c>
      <c r="T48" s="490">
        <v>100</v>
      </c>
    </row>
    <row r="49" spans="1:24" x14ac:dyDescent="0.2">
      <c r="A49" s="21"/>
      <c r="B49" s="21">
        <v>40</v>
      </c>
      <c r="C49" s="45" t="s">
        <v>431</v>
      </c>
      <c r="D49" s="35">
        <f t="shared" si="2"/>
        <v>42710</v>
      </c>
      <c r="E49" s="36">
        <v>2016</v>
      </c>
      <c r="F49" s="36">
        <v>341</v>
      </c>
      <c r="G49" s="161">
        <v>0.30277777777777798</v>
      </c>
      <c r="H49" s="392">
        <v>0.375</v>
      </c>
      <c r="I49" s="393">
        <v>0</v>
      </c>
      <c r="J49" s="164">
        <f t="shared" si="3"/>
        <v>42710</v>
      </c>
      <c r="K49" s="36">
        <v>2016</v>
      </c>
      <c r="L49" s="36">
        <v>341</v>
      </c>
      <c r="M49" s="37">
        <v>0.67777777777777803</v>
      </c>
      <c r="N49" s="499" t="s">
        <v>307</v>
      </c>
      <c r="O49" s="367">
        <f>IF(VALUE(LEFT($R49,3))&lt;192,"",IF(VALUE(LEFT($R49,3))&gt;597,"",VLOOKUP(VALUE(LEFT($R49,3)),'CIRS Table Info'!$B$6:$J$425,2,FALSE)))</f>
        <v>15.67</v>
      </c>
      <c r="P49" s="497" t="str">
        <f>IF(MID(R49,5,3)="",IF(VALUE(LEFT($R49,3))&lt;192,"",IF(VALUE(LEFT($R49,3))&gt;597,"",CONCATENATE(VLOOKUP(VALUE(LEFT($R49,3)),'CIRS Table Info'!$B$6:$J$425,6,FALSE),"/",VLOOKUP(VALUE(LEFT($R49,3)),'CIRS Table Info'!$B$6:$J$425,8,FALSE),IF(VLOOKUP(VALUE(LEFT($R49,3)),'CIRS Table Info'!$B$6:$J$425,9,FALSE)="Closed","/CLOSED","")))),IF(VALUE(MID($R49,5,3))&lt;192,"",IF(VALUE(MID($R49,5,3))&gt;597,"",CONCATENATE(VLOOKUP(VALUE(MID($R49,5,3)),'CIRS Table Info'!$B$6:$J$425,6,FALSE),"/",VLOOKUP(VALUE(MID($R49,5,3)),'CIRS Table Info'!$B$6:$J$425,8,FALSE),IF(VLOOKUP(VALUE(MID($R49,5,3)),'CIRS Table Info'!$B$6:$J$425,9,FALSE)="Closed","/CLOSED","")))))</f>
        <v>Blink/Blink</v>
      </c>
      <c r="Q49" s="171"/>
      <c r="R49" s="172">
        <f>VLOOKUP($C49,'CIRS Table IDs'!$B:$P,14,FALSE)</f>
        <v>405</v>
      </c>
      <c r="S49" s="410">
        <v>877.028503</v>
      </c>
      <c r="T49" s="411">
        <v>100</v>
      </c>
      <c r="V49" s="49"/>
      <c r="W49" s="49"/>
      <c r="X49" s="49"/>
    </row>
    <row r="50" spans="1:24" x14ac:dyDescent="0.2">
      <c r="A50" s="477">
        <v>11</v>
      </c>
      <c r="B50" s="477">
        <v>41</v>
      </c>
      <c r="C50" s="478" t="s">
        <v>432</v>
      </c>
      <c r="D50" s="479">
        <f t="shared" si="2"/>
        <v>42710</v>
      </c>
      <c r="E50" s="480">
        <v>2016</v>
      </c>
      <c r="F50" s="480">
        <v>341</v>
      </c>
      <c r="G50" s="481">
        <v>0.87222222222222201</v>
      </c>
      <c r="H50" s="482">
        <v>0.25</v>
      </c>
      <c r="I50" s="483">
        <v>8.3333333333333301E-2</v>
      </c>
      <c r="J50" s="484">
        <f t="shared" si="3"/>
        <v>42711</v>
      </c>
      <c r="K50" s="480">
        <v>2016</v>
      </c>
      <c r="L50" s="480">
        <v>342</v>
      </c>
      <c r="M50" s="485">
        <v>0.20555555555555599</v>
      </c>
      <c r="N50" s="501">
        <v>3000</v>
      </c>
      <c r="O50" s="486" t="str">
        <f>IF(VALUE(LEFT($R50,3))&lt;192,"",IF(VALUE(LEFT($R50,3))&gt;597,"",VLOOKUP(VALUE(LEFT($R50,3)),'CIRS Table Info'!$B$6:$J$425,2,FALSE)))</f>
        <v/>
      </c>
      <c r="P50" s="498" t="str">
        <f>IF(MID(R50,5,3)="",IF(VALUE(LEFT($R50,3))&lt;192,"",IF(VALUE(LEFT($R50,3))&gt;597,"",CONCATENATE(VLOOKUP(VALUE(LEFT($R50,3)),'CIRS Table Info'!$B$6:$J$425,6,FALSE),"/",VLOOKUP(VALUE(LEFT($R50,3)),'CIRS Table Info'!$B$6:$J$425,8,FALSE),IF(VLOOKUP(VALUE(LEFT($R50,3)),'CIRS Table Info'!$B$6:$J$425,9,FALSE)="Closed","/CLOSED","")))),IF(VALUE(MID($R50,5,3))&lt;192,"",IF(VALUE(MID($R50,5,3))&gt;597,"",CONCATENATE(VLOOKUP(VALUE(MID($R50,5,3)),'CIRS Table Info'!$B$6:$J$425,6,FALSE),"/",VLOOKUP(VALUE(MID($R50,5,3)),'CIRS Table Info'!$B$6:$J$425,8,FALSE),IF(VLOOKUP(VALUE(MID($R50,5,3)),'CIRS Table Info'!$B$6:$J$425,9,FALSE)="Closed","/CLOSED","")))))</f>
        <v/>
      </c>
      <c r="Q50" s="487"/>
      <c r="R50" s="488">
        <f>VLOOKUP($C50,'CIRS Table IDs'!$B:$P,14,FALSE)</f>
        <v>790</v>
      </c>
      <c r="S50" s="489">
        <v>883.28894000000003</v>
      </c>
      <c r="T50" s="490">
        <v>100</v>
      </c>
      <c r="W50" s="49"/>
      <c r="X50" s="49"/>
    </row>
    <row r="51" spans="1:24" ht="15.75" x14ac:dyDescent="0.25">
      <c r="A51" s="541">
        <v>12</v>
      </c>
      <c r="B51" s="541">
        <v>42</v>
      </c>
      <c r="C51" s="542" t="s">
        <v>433</v>
      </c>
      <c r="D51" s="543">
        <f t="shared" si="2"/>
        <v>42711</v>
      </c>
      <c r="E51" s="544">
        <v>2016</v>
      </c>
      <c r="F51" s="544">
        <v>342</v>
      </c>
      <c r="G51" s="545">
        <v>0.87916666666666698</v>
      </c>
      <c r="H51" s="546">
        <v>0.125</v>
      </c>
      <c r="I51" s="547">
        <v>0.20833333333333301</v>
      </c>
      <c r="J51" s="548">
        <f t="shared" si="3"/>
        <v>42712</v>
      </c>
      <c r="K51" s="544">
        <v>2016</v>
      </c>
      <c r="L51" s="544">
        <v>343</v>
      </c>
      <c r="M51" s="549">
        <v>0.21249999999999999</v>
      </c>
      <c r="N51" s="550">
        <v>1500</v>
      </c>
      <c r="O51" s="551" t="str">
        <f>IF(VALUE(LEFT($R51,3))&lt;192,"",IF(VALUE(LEFT($R51,3))&gt;597,"",VLOOKUP(VALUE(LEFT($R51,3)),'CIRS Table Info'!$B$6:$J$425,2,FALSE)))</f>
        <v/>
      </c>
      <c r="P51" s="552" t="str">
        <f>IF(MID(R51,5,3)="",IF(VALUE(LEFT($R51,3))&lt;192,"",IF(VALUE(LEFT($R51,3))&gt;597,"",CONCATENATE(VLOOKUP(VALUE(LEFT($R51,3)),'CIRS Table Info'!$B$6:$J$425,6,FALSE),"/",VLOOKUP(VALUE(LEFT($R51,3)),'CIRS Table Info'!$B$6:$J$425,8,FALSE),IF(VLOOKUP(VALUE(LEFT($R51,3)),'CIRS Table Info'!$B$6:$J$425,9,FALSE)="Closed","/CLOSED","")))),IF(VALUE(MID($R51,5,3))&lt;192,"",IF(VALUE(MID($R51,5,3))&gt;597,"",CONCATENATE(VLOOKUP(VALUE(MID($R51,5,3)),'CIRS Table Info'!$B$6:$J$425,6,FALSE),"/",VLOOKUP(VALUE(MID($R51,5,3)),'CIRS Table Info'!$B$6:$J$425,8,FALSE),IF(VLOOKUP(VALUE(MID($R51,5,3)),'CIRS Table Info'!$B$6:$J$425,9,FALSE)="Closed","/CLOSED","")))))</f>
        <v/>
      </c>
      <c r="Q51" s="553"/>
      <c r="R51" s="554">
        <f>VLOOKUP($C51,'CIRS Table IDs'!$B:$P,14,FALSE)</f>
        <v>791</v>
      </c>
      <c r="S51" s="555">
        <v>899.53118900000004</v>
      </c>
      <c r="T51" s="490">
        <v>2</v>
      </c>
      <c r="V51" s="49"/>
      <c r="W51" s="49"/>
    </row>
    <row r="52" spans="1:24" x14ac:dyDescent="0.2">
      <c r="A52" s="477">
        <v>13</v>
      </c>
      <c r="B52" s="477">
        <v>43</v>
      </c>
      <c r="C52" s="478" t="s">
        <v>434</v>
      </c>
      <c r="D52" s="479">
        <f t="shared" si="2"/>
        <v>42717</v>
      </c>
      <c r="E52" s="480">
        <v>2016</v>
      </c>
      <c r="F52" s="480">
        <v>348</v>
      </c>
      <c r="G52" s="481">
        <v>0.86319444444444404</v>
      </c>
      <c r="H52" s="482">
        <v>0.125</v>
      </c>
      <c r="I52" s="483">
        <v>0.20833333333333301</v>
      </c>
      <c r="J52" s="484">
        <f t="shared" si="3"/>
        <v>42718</v>
      </c>
      <c r="K52" s="480">
        <v>2016</v>
      </c>
      <c r="L52" s="480">
        <v>349</v>
      </c>
      <c r="M52" s="485">
        <v>0.196527777777778</v>
      </c>
      <c r="N52" s="501">
        <v>1500</v>
      </c>
      <c r="O52" s="486" t="str">
        <f>IF(VALUE(LEFT($R52,3))&lt;192,"",IF(VALUE(LEFT($R52,3))&gt;597,"",VLOOKUP(VALUE(LEFT($R52,3)),'CIRS Table Info'!$B$6:$J$425,2,FALSE)))</f>
        <v/>
      </c>
      <c r="P52" s="498" t="str">
        <f>IF(MID(R52,5,3)="",IF(VALUE(LEFT($R52,3))&lt;192,"",IF(VALUE(LEFT($R52,3))&gt;597,"",CONCATENATE(VLOOKUP(VALUE(LEFT($R52,3)),'CIRS Table Info'!$B$6:$J$425,6,FALSE),"/",VLOOKUP(VALUE(LEFT($R52,3)),'CIRS Table Info'!$B$6:$J$425,8,FALSE),IF(VLOOKUP(VALUE(LEFT($R52,3)),'CIRS Table Info'!$B$6:$J$425,9,FALSE)="Closed","/CLOSED","")))),IF(VALUE(MID($R52,5,3))&lt;192,"",IF(VALUE(MID($R52,5,3))&gt;597,"",CONCATENATE(VLOOKUP(VALUE(MID($R52,5,3)),'CIRS Table Info'!$B$6:$J$425,6,FALSE),"/",VLOOKUP(VALUE(MID($R52,5,3)),'CIRS Table Info'!$B$6:$J$425,8,FALSE),IF(VLOOKUP(VALUE(MID($R52,5,3)),'CIRS Table Info'!$B$6:$J$425,9,FALSE)="Closed","/CLOSED","")))))</f>
        <v/>
      </c>
      <c r="Q52" s="487"/>
      <c r="R52" s="488">
        <f>VLOOKUP($C52,'CIRS Table IDs'!$B:$P,14,FALSE)</f>
        <v>792</v>
      </c>
      <c r="S52" s="489">
        <v>1260.4243160000001</v>
      </c>
      <c r="T52" s="490">
        <v>99.775463000000002</v>
      </c>
    </row>
    <row r="53" spans="1:24" x14ac:dyDescent="0.2">
      <c r="A53" s="477">
        <v>14</v>
      </c>
      <c r="B53" s="477">
        <v>44</v>
      </c>
      <c r="C53" s="478" t="s">
        <v>435</v>
      </c>
      <c r="D53" s="479">
        <f t="shared" si="2"/>
        <v>42718</v>
      </c>
      <c r="E53" s="480">
        <v>2016</v>
      </c>
      <c r="F53" s="480">
        <v>349</v>
      </c>
      <c r="G53" s="481">
        <v>0.85833333333333295</v>
      </c>
      <c r="H53" s="482">
        <v>0.25</v>
      </c>
      <c r="I53" s="483">
        <v>8.3333333333333301E-2</v>
      </c>
      <c r="J53" s="484">
        <f t="shared" si="3"/>
        <v>42719</v>
      </c>
      <c r="K53" s="480">
        <v>2016</v>
      </c>
      <c r="L53" s="480">
        <v>350</v>
      </c>
      <c r="M53" s="485">
        <v>0.19166666666666701</v>
      </c>
      <c r="N53" s="501">
        <v>3000</v>
      </c>
      <c r="O53" s="486" t="str">
        <f>IF(VALUE(LEFT($R53,3))&lt;192,"",IF(VALUE(LEFT($R53,3))&gt;597,"",VLOOKUP(VALUE(LEFT($R53,3)),'CIRS Table Info'!$B$6:$J$425,2,FALSE)))</f>
        <v/>
      </c>
      <c r="P53" s="498" t="str">
        <f>IF(MID(R53,5,3)="",IF(VALUE(LEFT($R53,3))&lt;192,"",IF(VALUE(LEFT($R53,3))&gt;597,"",CONCATENATE(VLOOKUP(VALUE(LEFT($R53,3)),'CIRS Table Info'!$B$6:$J$425,6,FALSE),"/",VLOOKUP(VALUE(LEFT($R53,3)),'CIRS Table Info'!$B$6:$J$425,8,FALSE),IF(VLOOKUP(VALUE(LEFT($R53,3)),'CIRS Table Info'!$B$6:$J$425,9,FALSE)="Closed","/CLOSED","")))),IF(VALUE(MID($R53,5,3))&lt;192,"",IF(VALUE(MID($R53,5,3))&gt;597,"",CONCATENATE(VLOOKUP(VALUE(MID($R53,5,3)),'CIRS Table Info'!$B$6:$J$425,6,FALSE),"/",VLOOKUP(VALUE(MID($R53,5,3)),'CIRS Table Info'!$B$6:$J$425,8,FALSE),IF(VLOOKUP(VALUE(MID($R53,5,3)),'CIRS Table Info'!$B$6:$J$425,9,FALSE)="Closed","/CLOSED","")))))</f>
        <v/>
      </c>
      <c r="Q53" s="487"/>
      <c r="R53" s="488">
        <f>VLOOKUP($C53,'CIRS Table IDs'!$B:$P,14,FALSE)</f>
        <v>793</v>
      </c>
      <c r="S53" s="489">
        <v>1164.328125</v>
      </c>
      <c r="T53" s="490">
        <v>100</v>
      </c>
      <c r="V53" s="49"/>
      <c r="W53" s="49"/>
    </row>
    <row r="54" spans="1:24" x14ac:dyDescent="0.2">
      <c r="A54" s="21"/>
      <c r="B54" s="21">
        <v>45</v>
      </c>
      <c r="C54" s="45" t="s">
        <v>436</v>
      </c>
      <c r="D54" s="35">
        <f t="shared" si="2"/>
        <v>42719</v>
      </c>
      <c r="E54" s="36">
        <v>2016</v>
      </c>
      <c r="F54" s="36">
        <v>350</v>
      </c>
      <c r="G54" s="161">
        <v>0.26111111111111102</v>
      </c>
      <c r="H54" s="392">
        <v>0.16666666666666699</v>
      </c>
      <c r="I54" s="393">
        <v>0</v>
      </c>
      <c r="J54" s="164">
        <f t="shared" si="3"/>
        <v>42719</v>
      </c>
      <c r="K54" s="36">
        <v>2016</v>
      </c>
      <c r="L54" s="36">
        <v>350</v>
      </c>
      <c r="M54" s="37">
        <v>0.42777777777777798</v>
      </c>
      <c r="N54" s="499" t="s">
        <v>307</v>
      </c>
      <c r="O54" s="367">
        <f>IF(VALUE(LEFT($R54,3))&lt;192,"",IF(VALUE(LEFT($R54,3))&gt;597,"",VLOOKUP(VALUE(LEFT($R54,3)),'CIRS Table Info'!$B$6:$J$425,2,FALSE)))</f>
        <v>0.53</v>
      </c>
      <c r="P54" s="497" t="str">
        <f>IF(MID(R54,5,3)="",IF(VALUE(LEFT($R54,3))&lt;192,"",IF(VALUE(LEFT($R54,3))&gt;597,"",CONCATENATE(VLOOKUP(VALUE(LEFT($R54,3)),'CIRS Table Info'!$B$6:$J$425,6,FALSE),"/",VLOOKUP(VALUE(LEFT($R54,3)),'CIRS Table Info'!$B$6:$J$425,8,FALSE),IF(VLOOKUP(VALUE(LEFT($R54,3)),'CIRS Table Info'!$B$6:$J$425,9,FALSE)="Closed","/CLOSED","")))),IF(VALUE(MID($R54,5,3))&lt;192,"",IF(VALUE(MID($R54,5,3))&gt;597,"",CONCATENATE(VLOOKUP(VALUE(MID($R54,5,3)),'CIRS Table Info'!$B$6:$J$425,6,FALSE),"/",VLOOKUP(VALUE(MID($R54,5,3)),'CIRS Table Info'!$B$6:$J$425,8,FALSE),IF(VLOOKUP(VALUE(MID($R54,5,3)),'CIRS Table Info'!$B$6:$J$425,9,FALSE)="Closed","/CLOSED","")))))</f>
        <v>Blink/Blink</v>
      </c>
      <c r="Q54" s="171"/>
      <c r="R54" s="172">
        <f>VLOOKUP($C54,'CIRS Table IDs'!$B:$P,14,FALSE)</f>
        <v>541</v>
      </c>
      <c r="S54" s="410">
        <v>1599.531616</v>
      </c>
      <c r="T54" s="411">
        <v>99.299085000000005</v>
      </c>
    </row>
    <row r="55" spans="1:24" x14ac:dyDescent="0.2">
      <c r="A55" s="21"/>
      <c r="B55" s="21">
        <v>46</v>
      </c>
      <c r="C55" s="45" t="s">
        <v>439</v>
      </c>
      <c r="D55" s="35">
        <f t="shared" si="2"/>
        <v>42719</v>
      </c>
      <c r="E55" s="36">
        <v>2016</v>
      </c>
      <c r="F55" s="36">
        <v>350</v>
      </c>
      <c r="G55" s="161">
        <v>0.42777777777777798</v>
      </c>
      <c r="H55" s="392">
        <v>0.25347222222222199</v>
      </c>
      <c r="I55" s="393">
        <v>0</v>
      </c>
      <c r="J55" s="164">
        <f t="shared" si="3"/>
        <v>42719</v>
      </c>
      <c r="K55" s="36">
        <v>2016</v>
      </c>
      <c r="L55" s="36">
        <v>350</v>
      </c>
      <c r="M55" s="37">
        <v>0.68125000000000002</v>
      </c>
      <c r="N55" s="499" t="s">
        <v>307</v>
      </c>
      <c r="O55" s="367">
        <f>IF(VALUE(LEFT($R55,3))&lt;192,"",IF(VALUE(LEFT($R55,3))&gt;597,"",VLOOKUP(VALUE(LEFT($R55,3)),'CIRS Table Info'!$B$6:$J$425,2,FALSE)))</f>
        <v>2.85</v>
      </c>
      <c r="P55" s="497" t="str">
        <f>IF(MID(R55,5,3)="",IF(VALUE(LEFT($R55,3))&lt;192,"",IF(VALUE(LEFT($R55,3))&gt;597,"",CONCATENATE(VLOOKUP(VALUE(LEFT($R55,3)),'CIRS Table Info'!$B$6:$J$425,6,FALSE),"/",VLOOKUP(VALUE(LEFT($R55,3)),'CIRS Table Info'!$B$6:$J$425,8,FALSE),IF(VLOOKUP(VALUE(LEFT($R55,3)),'CIRS Table Info'!$B$6:$J$425,9,FALSE)="Closed","/CLOSED","")))),IF(VALUE(MID($R55,5,3))&lt;192,"",IF(VALUE(MID($R55,5,3))&gt;597,"",CONCATENATE(VLOOKUP(VALUE(MID($R55,5,3)),'CIRS Table Info'!$B$6:$J$425,6,FALSE),"/",VLOOKUP(VALUE(MID($R55,5,3)),'CIRS Table Info'!$B$6:$J$425,8,FALSE),IF(VLOOKUP(VALUE(MID($R55,5,3)),'CIRS Table Info'!$B$6:$J$425,9,FALSE)="Closed","/CLOSED","")))))</f>
        <v>Blink/Blink</v>
      </c>
      <c r="Q55" s="171"/>
      <c r="R55" s="172">
        <f>VLOOKUP($C55,'CIRS Table IDs'!$B:$P,14,FALSE)</f>
        <v>467</v>
      </c>
      <c r="S55" s="410">
        <v>1663.058716</v>
      </c>
      <c r="T55" s="411">
        <v>90.931094000000002</v>
      </c>
    </row>
    <row r="56" spans="1:24" x14ac:dyDescent="0.2">
      <c r="A56" s="21"/>
      <c r="B56" s="21">
        <v>47</v>
      </c>
      <c r="C56" s="45" t="s">
        <v>441</v>
      </c>
      <c r="D56" s="35">
        <f t="shared" si="2"/>
        <v>42719</v>
      </c>
      <c r="E56" s="36">
        <v>2016</v>
      </c>
      <c r="F56" s="36">
        <v>350</v>
      </c>
      <c r="G56" s="161">
        <v>0.68125000000000002</v>
      </c>
      <c r="H56" s="392">
        <v>4.1666666666666699E-2</v>
      </c>
      <c r="I56" s="393">
        <v>0</v>
      </c>
      <c r="J56" s="164">
        <f t="shared" si="3"/>
        <v>42719</v>
      </c>
      <c r="K56" s="36">
        <v>2016</v>
      </c>
      <c r="L56" s="36">
        <v>350</v>
      </c>
      <c r="M56" s="37">
        <v>0.72291666666666698</v>
      </c>
      <c r="N56" s="499" t="s">
        <v>307</v>
      </c>
      <c r="O56" s="367">
        <f>IF(VALUE(LEFT($R56,3))&lt;192,"",IF(VALUE(LEFT($R56,3))&gt;597,"",VLOOKUP(VALUE(LEFT($R56,3)),'CIRS Table Info'!$B$6:$J$425,2,FALSE)))</f>
        <v>0.53</v>
      </c>
      <c r="P56" s="497" t="str">
        <f>IF(MID(R56,5,3)="",IF(VALUE(LEFT($R56,3))&lt;192,"",IF(VALUE(LEFT($R56,3))&gt;597,"",CONCATENATE(VLOOKUP(VALUE(LEFT($R56,3)),'CIRS Table Info'!$B$6:$J$425,6,FALSE),"/",VLOOKUP(VALUE(LEFT($R56,3)),'CIRS Table Info'!$B$6:$J$425,8,FALSE),IF(VLOOKUP(VALUE(LEFT($R56,3)),'CIRS Table Info'!$B$6:$J$425,9,FALSE)="Closed","/CLOSED","")))),IF(VALUE(MID($R56,5,3))&lt;192,"",IF(VALUE(MID($R56,5,3))&gt;597,"",CONCATENATE(VLOOKUP(VALUE(MID($R56,5,3)),'CIRS Table Info'!$B$6:$J$425,6,FALSE),"/",VLOOKUP(VALUE(MID($R56,5,3)),'CIRS Table Info'!$B$6:$J$425,8,FALSE),IF(VLOOKUP(VALUE(MID($R56,5,3)),'CIRS Table Info'!$B$6:$J$425,9,FALSE)="Closed","/CLOSED","")))))</f>
        <v>Blink/Blink</v>
      </c>
      <c r="Q56" s="171"/>
      <c r="R56" s="172">
        <f>VLOOKUP($C56,'CIRS Table IDs'!$B:$P,14,FALSE)</f>
        <v>491</v>
      </c>
      <c r="S56" s="410">
        <v>1553.2650149999999</v>
      </c>
      <c r="T56" s="411">
        <v>94.383084999999994</v>
      </c>
      <c r="V56" s="49"/>
      <c r="W56" s="49"/>
      <c r="X56" s="49"/>
    </row>
    <row r="57" spans="1:24" x14ac:dyDescent="0.2">
      <c r="A57" s="21"/>
      <c r="B57" s="21">
        <v>48</v>
      </c>
      <c r="C57" s="45" t="s">
        <v>442</v>
      </c>
      <c r="D57" s="35">
        <f t="shared" si="2"/>
        <v>42719</v>
      </c>
      <c r="E57" s="36">
        <v>2016</v>
      </c>
      <c r="F57" s="36">
        <v>350</v>
      </c>
      <c r="G57" s="161">
        <v>0.72291666666666698</v>
      </c>
      <c r="H57" s="392">
        <v>0.16666666666666699</v>
      </c>
      <c r="I57" s="393">
        <v>0</v>
      </c>
      <c r="J57" s="164">
        <f t="shared" si="3"/>
        <v>42719</v>
      </c>
      <c r="K57" s="36">
        <v>2016</v>
      </c>
      <c r="L57" s="36">
        <v>350</v>
      </c>
      <c r="M57" s="37">
        <v>0.88958333333333295</v>
      </c>
      <c r="N57" s="499" t="s">
        <v>307</v>
      </c>
      <c r="O57" s="367">
        <f>IF(VALUE(LEFT($R57,3))&lt;192,"",IF(VALUE(LEFT($R57,3))&gt;597,"",VLOOKUP(VALUE(LEFT($R57,3)),'CIRS Table Info'!$B$6:$J$425,2,FALSE)))</f>
        <v>0.53</v>
      </c>
      <c r="P57" s="497" t="str">
        <f>IF(MID(R57,5,3)="",IF(VALUE(LEFT($R57,3))&lt;192,"",IF(VALUE(LEFT($R57,3))&gt;597,"",CONCATENATE(VLOOKUP(VALUE(LEFT($R57,3)),'CIRS Table Info'!$B$6:$J$425,6,FALSE),"/",VLOOKUP(VALUE(LEFT($R57,3)),'CIRS Table Info'!$B$6:$J$425,8,FALSE),IF(VLOOKUP(VALUE(LEFT($R57,3)),'CIRS Table Info'!$B$6:$J$425,9,FALSE)="Closed","/CLOSED","")))),IF(VALUE(MID($R57,5,3))&lt;192,"",IF(VALUE(MID($R57,5,3))&gt;597,"",CONCATENATE(VLOOKUP(VALUE(MID($R57,5,3)),'CIRS Table Info'!$B$6:$J$425,6,FALSE),"/",VLOOKUP(VALUE(MID($R57,5,3)),'CIRS Table Info'!$B$6:$J$425,8,FALSE),IF(VLOOKUP(VALUE(MID($R57,5,3)),'CIRS Table Info'!$B$6:$J$425,9,FALSE)="Closed","/CLOSED","")))))</f>
        <v>Blink/Blink</v>
      </c>
      <c r="Q57" s="171"/>
      <c r="R57" s="172">
        <f>VLOOKUP($C57,'CIRS Table IDs'!$B:$P,14,FALSE)</f>
        <v>541</v>
      </c>
      <c r="S57" s="410">
        <v>1635.7498780000001</v>
      </c>
      <c r="T57" s="411">
        <v>80.149037000000007</v>
      </c>
      <c r="V57" s="49"/>
      <c r="W57" s="49"/>
      <c r="X57" s="49"/>
    </row>
    <row r="58" spans="1:24" x14ac:dyDescent="0.2">
      <c r="A58" s="21"/>
      <c r="B58" s="21">
        <v>49</v>
      </c>
      <c r="C58" s="45" t="s">
        <v>444</v>
      </c>
      <c r="D58" s="35">
        <f t="shared" si="2"/>
        <v>42719</v>
      </c>
      <c r="E58" s="36">
        <v>2016</v>
      </c>
      <c r="F58" s="36">
        <v>350</v>
      </c>
      <c r="G58" s="161">
        <v>0.88958333333333295</v>
      </c>
      <c r="H58" s="392">
        <v>4.1666666666666699E-2</v>
      </c>
      <c r="I58" s="393">
        <v>0</v>
      </c>
      <c r="J58" s="164">
        <f t="shared" si="3"/>
        <v>42719</v>
      </c>
      <c r="K58" s="36">
        <v>2016</v>
      </c>
      <c r="L58" s="36">
        <v>350</v>
      </c>
      <c r="M58" s="37">
        <v>0.93125000000000002</v>
      </c>
      <c r="N58" s="499" t="s">
        <v>307</v>
      </c>
      <c r="O58" s="367">
        <f>IF(VALUE(LEFT($R58,3))&lt;192,"",IF(VALUE(LEFT($R58,3))&gt;597,"",VLOOKUP(VALUE(LEFT($R58,3)),'CIRS Table Info'!$B$6:$J$425,2,FALSE)))</f>
        <v>0.53</v>
      </c>
      <c r="P58" s="497" t="str">
        <f>IF(MID(R58,5,3)="",IF(VALUE(LEFT($R58,3))&lt;192,"",IF(VALUE(LEFT($R58,3))&gt;597,"",CONCATENATE(VLOOKUP(VALUE(LEFT($R58,3)),'CIRS Table Info'!$B$6:$J$425,6,FALSE),"/",VLOOKUP(VALUE(LEFT($R58,3)),'CIRS Table Info'!$B$6:$J$425,8,FALSE),IF(VLOOKUP(VALUE(LEFT($R58,3)),'CIRS Table Info'!$B$6:$J$425,9,FALSE)="Closed","/CLOSED","")))),IF(VALUE(MID($R58,5,3))&lt;192,"",IF(VALUE(MID($R58,5,3))&gt;597,"",CONCATENATE(VLOOKUP(VALUE(MID($R58,5,3)),'CIRS Table Info'!$B$6:$J$425,6,FALSE),"/",VLOOKUP(VALUE(MID($R58,5,3)),'CIRS Table Info'!$B$6:$J$425,8,FALSE),IF(VLOOKUP(VALUE(MID($R58,5,3)),'CIRS Table Info'!$B$6:$J$425,9,FALSE)="Closed","/CLOSED","")))))</f>
        <v>Blink/Blink</v>
      </c>
      <c r="Q58" s="171"/>
      <c r="R58" s="172">
        <f>VLOOKUP($C58,'CIRS Table IDs'!$B:$P,14,FALSE)</f>
        <v>491</v>
      </c>
      <c r="S58" s="410">
        <v>1543.8325199999999</v>
      </c>
      <c r="T58" s="411">
        <v>94.22757</v>
      </c>
    </row>
    <row r="59" spans="1:24" x14ac:dyDescent="0.2">
      <c r="A59" s="21"/>
      <c r="B59" s="21">
        <v>50</v>
      </c>
      <c r="C59" s="45" t="s">
        <v>445</v>
      </c>
      <c r="D59" s="35">
        <f t="shared" si="2"/>
        <v>42719</v>
      </c>
      <c r="E59" s="36">
        <v>2016</v>
      </c>
      <c r="F59" s="36">
        <v>350</v>
      </c>
      <c r="G59" s="161">
        <v>0.93125000000000002</v>
      </c>
      <c r="H59" s="392">
        <v>0.16666666666666699</v>
      </c>
      <c r="I59" s="393">
        <v>0</v>
      </c>
      <c r="J59" s="164">
        <f t="shared" si="3"/>
        <v>42720</v>
      </c>
      <c r="K59" s="36">
        <v>2016</v>
      </c>
      <c r="L59" s="36">
        <v>351</v>
      </c>
      <c r="M59" s="37">
        <v>9.7916666666666693E-2</v>
      </c>
      <c r="N59" s="499" t="s">
        <v>307</v>
      </c>
      <c r="O59" s="367">
        <f>IF(VALUE(LEFT($R59,3))&lt;192,"",IF(VALUE(LEFT($R59,3))&gt;597,"",VLOOKUP(VALUE(LEFT($R59,3)),'CIRS Table Info'!$B$6:$J$425,2,FALSE)))</f>
        <v>2.85</v>
      </c>
      <c r="P59" s="497" t="str">
        <f>IF(MID(R59,5,3)="",IF(VALUE(LEFT($R59,3))&lt;192,"",IF(VALUE(LEFT($R59,3))&gt;597,"",CONCATENATE(VLOOKUP(VALUE(LEFT($R59,3)),'CIRS Table Info'!$B$6:$J$425,6,FALSE),"/",VLOOKUP(VALUE(LEFT($R59,3)),'CIRS Table Info'!$B$6:$J$425,8,FALSE),IF(VLOOKUP(VALUE(LEFT($R59,3)),'CIRS Table Info'!$B$6:$J$425,9,FALSE)="Closed","/CLOSED","")))),IF(VALUE(MID($R59,5,3))&lt;192,"",IF(VALUE(MID($R59,5,3))&gt;597,"",CONCATENATE(VLOOKUP(VALUE(MID($R59,5,3)),'CIRS Table Info'!$B$6:$J$425,6,FALSE),"/",VLOOKUP(VALUE(MID($R59,5,3)),'CIRS Table Info'!$B$6:$J$425,8,FALSE),IF(VLOOKUP(VALUE(MID($R59,5,3)),'CIRS Table Info'!$B$6:$J$425,9,FALSE)="Closed","/CLOSED","")))))</f>
        <v>Blink/Blink</v>
      </c>
      <c r="Q59" s="171"/>
      <c r="R59" s="172">
        <f>VLOOKUP($C59,'CIRS Table IDs'!$B:$P,14,FALSE)</f>
        <v>467</v>
      </c>
      <c r="S59" s="410">
        <v>1623.755371</v>
      </c>
      <c r="T59" s="411">
        <v>94.270044999999996</v>
      </c>
      <c r="V59" s="49"/>
      <c r="W59" s="49"/>
    </row>
    <row r="60" spans="1:24" x14ac:dyDescent="0.2">
      <c r="A60" s="21"/>
      <c r="B60" s="21">
        <v>51</v>
      </c>
      <c r="C60" s="45" t="s">
        <v>446</v>
      </c>
      <c r="D60" s="35">
        <f t="shared" si="2"/>
        <v>42720</v>
      </c>
      <c r="E60" s="36">
        <v>2016</v>
      </c>
      <c r="F60" s="36">
        <v>351</v>
      </c>
      <c r="G60" s="161">
        <v>9.7916666666666693E-2</v>
      </c>
      <c r="H60" s="392">
        <v>4.1666666666666699E-2</v>
      </c>
      <c r="I60" s="393">
        <v>0</v>
      </c>
      <c r="J60" s="164">
        <f t="shared" si="3"/>
        <v>42720</v>
      </c>
      <c r="K60" s="36">
        <v>2016</v>
      </c>
      <c r="L60" s="36">
        <v>351</v>
      </c>
      <c r="M60" s="37">
        <v>0.139583333333333</v>
      </c>
      <c r="N60" s="499" t="s">
        <v>307</v>
      </c>
      <c r="O60" s="367">
        <f>IF(VALUE(LEFT($R60,3))&lt;192,"",IF(VALUE(LEFT($R60,3))&gt;597,"",VLOOKUP(VALUE(LEFT($R60,3)),'CIRS Table Info'!$B$6:$J$425,2,FALSE)))</f>
        <v>0.53</v>
      </c>
      <c r="P60" s="497" t="str">
        <f>IF(MID(R60,5,3)="",IF(VALUE(LEFT($R60,3))&lt;192,"",IF(VALUE(LEFT($R60,3))&gt;597,"",CONCATENATE(VLOOKUP(VALUE(LEFT($R60,3)),'CIRS Table Info'!$B$6:$J$425,6,FALSE),"/",VLOOKUP(VALUE(LEFT($R60,3)),'CIRS Table Info'!$B$6:$J$425,8,FALSE),IF(VLOOKUP(VALUE(LEFT($R60,3)),'CIRS Table Info'!$B$6:$J$425,9,FALSE)="Closed","/CLOSED","")))),IF(VALUE(MID($R60,5,3))&lt;192,"",IF(VALUE(MID($R60,5,3))&gt;597,"",CONCATENATE(VLOOKUP(VALUE(MID($R60,5,3)),'CIRS Table Info'!$B$6:$J$425,6,FALSE),"/",VLOOKUP(VALUE(MID($R60,5,3)),'CIRS Table Info'!$B$6:$J$425,8,FALSE),IF(VLOOKUP(VALUE(MID($R60,5,3)),'CIRS Table Info'!$B$6:$J$425,9,FALSE)="Closed","/CLOSED","")))))</f>
        <v>Blink/Blink</v>
      </c>
      <c r="Q60" s="171"/>
      <c r="R60" s="172">
        <f>VLOOKUP($C60,'CIRS Table IDs'!$B:$P,14,FALSE)</f>
        <v>491</v>
      </c>
      <c r="S60" s="410">
        <v>1515.3122559999999</v>
      </c>
      <c r="T60" s="411">
        <v>93.609630999999993</v>
      </c>
      <c r="V60" s="49"/>
      <c r="W60" s="49"/>
    </row>
    <row r="61" spans="1:24" x14ac:dyDescent="0.2">
      <c r="A61" s="21"/>
      <c r="B61" s="21">
        <v>52</v>
      </c>
      <c r="C61" s="45" t="s">
        <v>447</v>
      </c>
      <c r="D61" s="35">
        <f t="shared" si="2"/>
        <v>42720</v>
      </c>
      <c r="E61" s="36">
        <v>2016</v>
      </c>
      <c r="F61" s="36">
        <v>351</v>
      </c>
      <c r="G61" s="161">
        <v>0.139583333333333</v>
      </c>
      <c r="H61" s="392">
        <v>6.25E-2</v>
      </c>
      <c r="I61" s="393">
        <v>0</v>
      </c>
      <c r="J61" s="164">
        <f t="shared" si="3"/>
        <v>42720</v>
      </c>
      <c r="K61" s="36">
        <v>2016</v>
      </c>
      <c r="L61" s="36">
        <v>351</v>
      </c>
      <c r="M61" s="37">
        <v>0.202083333333333</v>
      </c>
      <c r="N61" s="499" t="s">
        <v>307</v>
      </c>
      <c r="O61" s="367">
        <f>IF(VALUE(LEFT($R61,3))&lt;192,"",IF(VALUE(LEFT($R61,3))&gt;597,"",VLOOKUP(VALUE(LEFT($R61,3)),'CIRS Table Info'!$B$6:$J$425,2,FALSE)))</f>
        <v>0.53</v>
      </c>
      <c r="P61" s="497" t="str">
        <f>IF(MID(R61,5,3)="",IF(VALUE(LEFT($R61,3))&lt;192,"",IF(VALUE(LEFT($R61,3))&gt;597,"",CONCATENATE(VLOOKUP(VALUE(LEFT($R61,3)),'CIRS Table Info'!$B$6:$J$425,6,FALSE),"/",VLOOKUP(VALUE(LEFT($R61,3)),'CIRS Table Info'!$B$6:$J$425,8,FALSE),IF(VLOOKUP(VALUE(LEFT($R61,3)),'CIRS Table Info'!$B$6:$J$425,9,FALSE)="Closed","/CLOSED","")))),IF(VALUE(MID($R61,5,3))&lt;192,"",IF(VALUE(MID($R61,5,3))&gt;597,"",CONCATENATE(VLOOKUP(VALUE(MID($R61,5,3)),'CIRS Table Info'!$B$6:$J$425,6,FALSE),"/",VLOOKUP(VALUE(MID($R61,5,3)),'CIRS Table Info'!$B$6:$J$425,8,FALSE),IF(VLOOKUP(VALUE(MID($R61,5,3)),'CIRS Table Info'!$B$6:$J$425,9,FALSE)="Closed","/CLOSED","")))))</f>
        <v>Blink/Blink</v>
      </c>
      <c r="Q61" s="171"/>
      <c r="R61" s="172">
        <f>VLOOKUP($C61,'CIRS Table IDs'!$B:$P,14,FALSE)</f>
        <v>541</v>
      </c>
      <c r="S61" s="410">
        <v>1846.2772219999999</v>
      </c>
      <c r="T61" s="411">
        <v>94.332223999999997</v>
      </c>
      <c r="V61" s="49"/>
      <c r="W61" s="49"/>
    </row>
    <row r="62" spans="1:24" x14ac:dyDescent="0.2">
      <c r="A62" s="21"/>
      <c r="B62" s="21">
        <v>53</v>
      </c>
      <c r="C62" s="45" t="s">
        <v>449</v>
      </c>
      <c r="D62" s="35">
        <f t="shared" si="2"/>
        <v>42720</v>
      </c>
      <c r="E62" s="36">
        <v>2016</v>
      </c>
      <c r="F62" s="36">
        <v>351</v>
      </c>
      <c r="G62" s="161">
        <v>0.202083333333333</v>
      </c>
      <c r="H62" s="392">
        <v>4.1666666666666699E-2</v>
      </c>
      <c r="I62" s="393">
        <v>0</v>
      </c>
      <c r="J62" s="164">
        <f t="shared" si="3"/>
        <v>42720</v>
      </c>
      <c r="K62" s="36">
        <v>2016</v>
      </c>
      <c r="L62" s="36">
        <v>351</v>
      </c>
      <c r="M62" s="37">
        <v>0.24374999999999999</v>
      </c>
      <c r="N62" s="499" t="s">
        <v>307</v>
      </c>
      <c r="O62" s="367">
        <f>IF(VALUE(LEFT($R62,3))&lt;192,"",IF(VALUE(LEFT($R62,3))&gt;597,"",VLOOKUP(VALUE(LEFT($R62,3)),'CIRS Table Info'!$B$6:$J$425,2,FALSE)))</f>
        <v>0.53</v>
      </c>
      <c r="P62" s="497" t="str">
        <f>IF(MID(R62,5,3)="",IF(VALUE(LEFT($R62,3))&lt;192,"",IF(VALUE(LEFT($R62,3))&gt;597,"",CONCATENATE(VLOOKUP(VALUE(LEFT($R62,3)),'CIRS Table Info'!$B$6:$J$425,6,FALSE),"/",VLOOKUP(VALUE(LEFT($R62,3)),'CIRS Table Info'!$B$6:$J$425,8,FALSE),IF(VLOOKUP(VALUE(LEFT($R62,3)),'CIRS Table Info'!$B$6:$J$425,9,FALSE)="Closed","/CLOSED","")))),IF(VALUE(MID($R62,5,3))&lt;192,"",IF(VALUE(MID($R62,5,3))&gt;597,"",CONCATENATE(VLOOKUP(VALUE(MID($R62,5,3)),'CIRS Table Info'!$B$6:$J$425,6,FALSE),"/",VLOOKUP(VALUE(MID($R62,5,3)),'CIRS Table Info'!$B$6:$J$425,8,FALSE),IF(VLOOKUP(VALUE(MID($R62,5,3)),'CIRS Table Info'!$B$6:$J$425,9,FALSE)="Closed","/CLOSED","")))))</f>
        <v>Blink/Blink</v>
      </c>
      <c r="Q62" s="171"/>
      <c r="R62" s="172">
        <f>VLOOKUP($C62,'CIRS Table IDs'!$B:$P,14,FALSE)</f>
        <v>541</v>
      </c>
      <c r="S62" s="410">
        <v>1496.112427</v>
      </c>
      <c r="T62" s="411">
        <v>63.501655999999997</v>
      </c>
    </row>
    <row r="63" spans="1:24" ht="15.75" x14ac:dyDescent="0.25">
      <c r="A63" s="526"/>
      <c r="B63" s="526">
        <v>54</v>
      </c>
      <c r="C63" s="527" t="s">
        <v>450</v>
      </c>
      <c r="D63" s="528">
        <f t="shared" si="2"/>
        <v>42720</v>
      </c>
      <c r="E63" s="529">
        <v>2016</v>
      </c>
      <c r="F63" s="529">
        <v>351</v>
      </c>
      <c r="G63" s="530">
        <v>0.24374999999999999</v>
      </c>
      <c r="H63" s="531">
        <v>6.25E-2</v>
      </c>
      <c r="I63" s="532">
        <v>0</v>
      </c>
      <c r="J63" s="533">
        <f t="shared" si="3"/>
        <v>42720</v>
      </c>
      <c r="K63" s="529">
        <v>2016</v>
      </c>
      <c r="L63" s="529">
        <v>351</v>
      </c>
      <c r="M63" s="534">
        <v>0.30625000000000002</v>
      </c>
      <c r="N63" s="535" t="s">
        <v>307</v>
      </c>
      <c r="O63" s="536">
        <f>IF(VALUE(LEFT($R63,3))&lt;192,"",IF(VALUE(LEFT($R63,3))&gt;597,"",VLOOKUP(VALUE(LEFT($R63,3)),'CIRS Table Info'!$B$6:$J$425,2,FALSE)))</f>
        <v>2.85</v>
      </c>
      <c r="P63" s="537" t="str">
        <f>IF(MID(R63,5,3)="",IF(VALUE(LEFT($R63,3))&lt;192,"",IF(VALUE(LEFT($R63,3))&gt;597,"",CONCATENATE(VLOOKUP(VALUE(LEFT($R63,3)),'CIRS Table Info'!$B$6:$J$425,6,FALSE),"/",VLOOKUP(VALUE(LEFT($R63,3)),'CIRS Table Info'!$B$6:$J$425,8,FALSE),IF(VLOOKUP(VALUE(LEFT($R63,3)),'CIRS Table Info'!$B$6:$J$425,9,FALSE)="Closed","/CLOSED","")))),IF(VALUE(MID($R63,5,3))&lt;192,"",IF(VALUE(MID($R63,5,3))&gt;597,"",CONCATENATE(VLOOKUP(VALUE(MID($R63,5,3)),'CIRS Table Info'!$B$6:$J$425,6,FALSE),"/",VLOOKUP(VALUE(MID($R63,5,3)),'CIRS Table Info'!$B$6:$J$425,8,FALSE),IF(VLOOKUP(VALUE(MID($R63,5,3)),'CIRS Table Info'!$B$6:$J$425,9,FALSE)="Closed","/CLOSED","")))))</f>
        <v>Blink/Blink</v>
      </c>
      <c r="Q63" s="538"/>
      <c r="R63" s="539">
        <f>VLOOKUP($C63,'CIRS Table IDs'!$B:$P,14,FALSE)</f>
        <v>467</v>
      </c>
      <c r="S63" s="540">
        <v>1489.887817</v>
      </c>
      <c r="T63" s="411">
        <v>3.2331490000000001</v>
      </c>
      <c r="V63" s="49"/>
      <c r="W63" s="49"/>
      <c r="X63" s="49"/>
    </row>
    <row r="64" spans="1:24" ht="15.75" x14ac:dyDescent="0.25">
      <c r="A64" s="526"/>
      <c r="B64" s="526">
        <v>55</v>
      </c>
      <c r="C64" s="527" t="s">
        <v>451</v>
      </c>
      <c r="D64" s="528">
        <f t="shared" si="2"/>
        <v>42720</v>
      </c>
      <c r="E64" s="529">
        <v>2016</v>
      </c>
      <c r="F64" s="529">
        <v>351</v>
      </c>
      <c r="G64" s="530">
        <v>0.30625000000000002</v>
      </c>
      <c r="H64" s="531">
        <v>4.1666666666666699E-2</v>
      </c>
      <c r="I64" s="532">
        <v>0</v>
      </c>
      <c r="J64" s="533">
        <f t="shared" si="3"/>
        <v>42720</v>
      </c>
      <c r="K64" s="529">
        <v>2016</v>
      </c>
      <c r="L64" s="529">
        <v>351</v>
      </c>
      <c r="M64" s="534">
        <v>0.34791666666666698</v>
      </c>
      <c r="N64" s="535" t="s">
        <v>307</v>
      </c>
      <c r="O64" s="536">
        <f>IF(VALUE(LEFT($R64,3))&lt;192,"",IF(VALUE(LEFT($R64,3))&gt;597,"",VLOOKUP(VALUE(LEFT($R64,3)),'CIRS Table Info'!$B$6:$J$425,2,FALSE)))</f>
        <v>0.53</v>
      </c>
      <c r="P64" s="537" t="str">
        <f>IF(MID(R64,5,3)="",IF(VALUE(LEFT($R64,3))&lt;192,"",IF(VALUE(LEFT($R64,3))&gt;597,"",CONCATENATE(VLOOKUP(VALUE(LEFT($R64,3)),'CIRS Table Info'!$B$6:$J$425,6,FALSE),"/",VLOOKUP(VALUE(LEFT($R64,3)),'CIRS Table Info'!$B$6:$J$425,8,FALSE),IF(VLOOKUP(VALUE(LEFT($R64,3)),'CIRS Table Info'!$B$6:$J$425,9,FALSE)="Closed","/CLOSED","")))),IF(VALUE(MID($R64,5,3))&lt;192,"",IF(VALUE(MID($R64,5,3))&gt;597,"",CONCATENATE(VLOOKUP(VALUE(MID($R64,5,3)),'CIRS Table Info'!$B$6:$J$425,6,FALSE),"/",VLOOKUP(VALUE(MID($R64,5,3)),'CIRS Table Info'!$B$6:$J$425,8,FALSE),IF(VLOOKUP(VALUE(MID($R64,5,3)),'CIRS Table Info'!$B$6:$J$425,9,FALSE)="Closed","/CLOSED","")))))</f>
        <v>Blink/Blink</v>
      </c>
      <c r="Q64" s="538"/>
      <c r="R64" s="539">
        <f>VLOOKUP($C64,'CIRS Table IDs'!$B:$P,14,FALSE)</f>
        <v>491</v>
      </c>
      <c r="S64" s="540">
        <v>1472.7438959999999</v>
      </c>
      <c r="T64" s="411">
        <v>4.8720929999999996</v>
      </c>
      <c r="V64" s="49"/>
      <c r="W64" s="49"/>
    </row>
    <row r="65" spans="1:24" x14ac:dyDescent="0.2">
      <c r="A65" s="21"/>
      <c r="B65" s="21">
        <v>56</v>
      </c>
      <c r="C65" s="45" t="s">
        <v>452</v>
      </c>
      <c r="D65" s="35">
        <f t="shared" si="2"/>
        <v>42720</v>
      </c>
      <c r="E65" s="36">
        <v>2016</v>
      </c>
      <c r="F65" s="36">
        <v>351</v>
      </c>
      <c r="G65" s="161">
        <v>0.34791666666666698</v>
      </c>
      <c r="H65" s="392">
        <v>9.1666666666666702E-2</v>
      </c>
      <c r="I65" s="393">
        <v>0</v>
      </c>
      <c r="J65" s="164">
        <f t="shared" si="3"/>
        <v>42720</v>
      </c>
      <c r="K65" s="36">
        <v>2016</v>
      </c>
      <c r="L65" s="36">
        <v>351</v>
      </c>
      <c r="M65" s="37">
        <v>0.43958333333333299</v>
      </c>
      <c r="N65" s="499" t="s">
        <v>307</v>
      </c>
      <c r="O65" s="367">
        <f>IF(VALUE(LEFT($R65,3))&lt;192,"",IF(VALUE(LEFT($R65,3))&gt;597,"",VLOOKUP(VALUE(LEFT($R65,3)),'CIRS Table Info'!$B$6:$J$425,2,FALSE)))</f>
        <v>2.85</v>
      </c>
      <c r="P65" s="497" t="str">
        <f>IF(MID(R65,5,3)="",IF(VALUE(LEFT($R65,3))&lt;192,"",IF(VALUE(LEFT($R65,3))&gt;597,"",CONCATENATE(VLOOKUP(VALUE(LEFT($R65,3)),'CIRS Table Info'!$B$6:$J$425,6,FALSE),"/",VLOOKUP(VALUE(LEFT($R65,3)),'CIRS Table Info'!$B$6:$J$425,8,FALSE),IF(VLOOKUP(VALUE(LEFT($R65,3)),'CIRS Table Info'!$B$6:$J$425,9,FALSE)="Closed","/CLOSED","")))),IF(VALUE(MID($R65,5,3))&lt;192,"",IF(VALUE(MID($R65,5,3))&gt;597,"",CONCATENATE(VLOOKUP(VALUE(MID($R65,5,3)),'CIRS Table Info'!$B$6:$J$425,6,FALSE),"/",VLOOKUP(VALUE(MID($R65,5,3)),'CIRS Table Info'!$B$6:$J$425,8,FALSE),IF(VLOOKUP(VALUE(MID($R65,5,3)),'CIRS Table Info'!$B$6:$J$425,9,FALSE)="Closed","/CLOSED","")))))</f>
        <v>Blink/Blink</v>
      </c>
      <c r="Q65" s="171"/>
      <c r="R65" s="172">
        <f>VLOOKUP($C65,'CIRS Table IDs'!$B:$P,14,FALSE)</f>
        <v>467</v>
      </c>
      <c r="S65" s="410">
        <v>1529.92749</v>
      </c>
      <c r="T65" s="411">
        <v>61.510204999999999</v>
      </c>
    </row>
    <row r="66" spans="1:24" x14ac:dyDescent="0.2">
      <c r="A66" s="21"/>
      <c r="B66" s="21">
        <v>57</v>
      </c>
      <c r="C66" s="45" t="s">
        <v>453</v>
      </c>
      <c r="D66" s="35">
        <f t="shared" si="2"/>
        <v>42720</v>
      </c>
      <c r="E66" s="36">
        <v>2016</v>
      </c>
      <c r="F66" s="36">
        <v>351</v>
      </c>
      <c r="G66" s="161">
        <v>0.43958333333333299</v>
      </c>
      <c r="H66" s="392">
        <v>4.1666666666666699E-2</v>
      </c>
      <c r="I66" s="393">
        <v>0</v>
      </c>
      <c r="J66" s="164">
        <f t="shared" si="3"/>
        <v>42720</v>
      </c>
      <c r="K66" s="36">
        <v>2016</v>
      </c>
      <c r="L66" s="36">
        <v>351</v>
      </c>
      <c r="M66" s="37">
        <v>0.48125000000000001</v>
      </c>
      <c r="N66" s="499" t="s">
        <v>307</v>
      </c>
      <c r="O66" s="367">
        <f>IF(VALUE(LEFT($R66,3))&lt;192,"",IF(VALUE(LEFT($R66,3))&gt;597,"",VLOOKUP(VALUE(LEFT($R66,3)),'CIRS Table Info'!$B$6:$J$425,2,FALSE)))</f>
        <v>0.53</v>
      </c>
      <c r="P66" s="497" t="str">
        <f>IF(MID(R66,5,3)="",IF(VALUE(LEFT($R66,3))&lt;192,"",IF(VALUE(LEFT($R66,3))&gt;597,"",CONCATENATE(VLOOKUP(VALUE(LEFT($R66,3)),'CIRS Table Info'!$B$6:$J$425,6,FALSE),"/",VLOOKUP(VALUE(LEFT($R66,3)),'CIRS Table Info'!$B$6:$J$425,8,FALSE),IF(VLOOKUP(VALUE(LEFT($R66,3)),'CIRS Table Info'!$B$6:$J$425,9,FALSE)="Closed","/CLOSED","")))),IF(VALUE(MID($R66,5,3))&lt;192,"",IF(VALUE(MID($R66,5,3))&gt;597,"",CONCATENATE(VLOOKUP(VALUE(MID($R66,5,3)),'CIRS Table Info'!$B$6:$J$425,6,FALSE),"/",VLOOKUP(VALUE(MID($R66,5,3)),'CIRS Table Info'!$B$6:$J$425,8,FALSE),IF(VLOOKUP(VALUE(MID($R66,5,3)),'CIRS Table Info'!$B$6:$J$425,9,FALSE)="Closed","/CLOSED","")))))</f>
        <v>Blink/Blink</v>
      </c>
      <c r="Q66" s="171"/>
      <c r="R66" s="172">
        <f>VLOOKUP($C66,'CIRS Table IDs'!$B:$P,14,FALSE)</f>
        <v>491</v>
      </c>
      <c r="S66" s="410">
        <v>1441.4501949999999</v>
      </c>
      <c r="T66" s="411">
        <v>98.512434999999996</v>
      </c>
      <c r="V66" s="49"/>
      <c r="W66" s="49"/>
    </row>
    <row r="67" spans="1:24" x14ac:dyDescent="0.2">
      <c r="A67" s="477">
        <v>15</v>
      </c>
      <c r="B67" s="477">
        <v>58</v>
      </c>
      <c r="C67" s="478" t="s">
        <v>454</v>
      </c>
      <c r="D67" s="479">
        <f t="shared" si="2"/>
        <v>42720</v>
      </c>
      <c r="E67" s="480">
        <v>2016</v>
      </c>
      <c r="F67" s="480">
        <v>351</v>
      </c>
      <c r="G67" s="481">
        <v>0.61319444444444404</v>
      </c>
      <c r="H67" s="482">
        <v>0.21875</v>
      </c>
      <c r="I67" s="483">
        <v>7.2916666666666796E-2</v>
      </c>
      <c r="J67" s="484">
        <f t="shared" si="3"/>
        <v>42720</v>
      </c>
      <c r="K67" s="480">
        <v>2016</v>
      </c>
      <c r="L67" s="480">
        <v>351</v>
      </c>
      <c r="M67" s="485">
        <v>0.90486111111111101</v>
      </c>
      <c r="N67" s="501">
        <v>3000</v>
      </c>
      <c r="O67" s="486" t="str">
        <f>IF(VALUE(LEFT($R67,3))&lt;192,"",IF(VALUE(LEFT($R67,3))&gt;597,"",VLOOKUP(VALUE(LEFT($R67,3)),'CIRS Table Info'!$B$6:$J$425,2,FALSE)))</f>
        <v/>
      </c>
      <c r="P67" s="498" t="str">
        <f>IF(MID(R67,5,3)="",IF(VALUE(LEFT($R67,3))&lt;192,"",IF(VALUE(LEFT($R67,3))&gt;597,"",CONCATENATE(VLOOKUP(VALUE(LEFT($R67,3)),'CIRS Table Info'!$B$6:$J$425,6,FALSE),"/",VLOOKUP(VALUE(LEFT($R67,3)),'CIRS Table Info'!$B$6:$J$425,8,FALSE),IF(VLOOKUP(VALUE(LEFT($R67,3)),'CIRS Table Info'!$B$6:$J$425,9,FALSE)="Closed","/CLOSED","")))),IF(VALUE(MID($R67,5,3))&lt;192,"",IF(VALUE(MID($R67,5,3))&gt;597,"",CONCATENATE(VLOOKUP(VALUE(MID($R67,5,3)),'CIRS Table Info'!$B$6:$J$425,6,FALSE),"/",VLOOKUP(VALUE(MID($R67,5,3)),'CIRS Table Info'!$B$6:$J$425,8,FALSE),IF(VLOOKUP(VALUE(MID($R67,5,3)),'CIRS Table Info'!$B$6:$J$425,9,FALSE)="Closed","/CLOSED","")))))</f>
        <v/>
      </c>
      <c r="Q67" s="487"/>
      <c r="R67" s="488">
        <f>VLOOKUP($C67,'CIRS Table IDs'!$B:$P,14,FALSE)</f>
        <v>807</v>
      </c>
      <c r="S67" s="489">
        <v>1148.24585</v>
      </c>
      <c r="T67" s="490">
        <v>100</v>
      </c>
      <c r="W67" s="49"/>
      <c r="X67" s="49"/>
    </row>
    <row r="68" spans="1:24" x14ac:dyDescent="0.2">
      <c r="A68" s="21"/>
      <c r="B68" s="21">
        <v>59</v>
      </c>
      <c r="C68" s="45" t="s">
        <v>455</v>
      </c>
      <c r="D68" s="35">
        <f t="shared" si="2"/>
        <v>42720</v>
      </c>
      <c r="E68" s="36">
        <v>2016</v>
      </c>
      <c r="F68" s="36">
        <v>351</v>
      </c>
      <c r="G68" s="161">
        <v>0.90486111111111101</v>
      </c>
      <c r="H68" s="392">
        <v>0.79166666666666696</v>
      </c>
      <c r="I68" s="393">
        <v>0</v>
      </c>
      <c r="J68" s="164">
        <f t="shared" si="3"/>
        <v>42721</v>
      </c>
      <c r="K68" s="36">
        <v>2016</v>
      </c>
      <c r="L68" s="36">
        <v>352</v>
      </c>
      <c r="M68" s="37">
        <v>0.69652777777777797</v>
      </c>
      <c r="N68" s="499" t="s">
        <v>307</v>
      </c>
      <c r="O68" s="367">
        <f>IF(VALUE(LEFT($R68,3))&lt;192,"",IF(VALUE(LEFT($R68,3))&gt;597,"",VLOOKUP(VALUE(LEFT($R68,3)),'CIRS Table Info'!$B$6:$J$425,2,FALSE)))</f>
        <v>15.67</v>
      </c>
      <c r="P68" s="497" t="s">
        <v>700</v>
      </c>
      <c r="Q68" s="171"/>
      <c r="R68" s="172">
        <f>VLOOKUP($C68,'CIRS Table IDs'!$B:$P,14,FALSE)</f>
        <v>192</v>
      </c>
      <c r="S68" s="410">
        <v>1435.603149</v>
      </c>
      <c r="T68" s="411">
        <v>99.337982999999994</v>
      </c>
      <c r="V68" s="49"/>
      <c r="W68" s="49"/>
      <c r="X68" s="49"/>
    </row>
    <row r="69" spans="1:24" x14ac:dyDescent="0.2">
      <c r="A69" s="477">
        <v>16</v>
      </c>
      <c r="B69" s="477">
        <v>60</v>
      </c>
      <c r="C69" s="478" t="s">
        <v>456</v>
      </c>
      <c r="D69" s="479">
        <f t="shared" si="2"/>
        <v>42721</v>
      </c>
      <c r="E69" s="480">
        <v>2016</v>
      </c>
      <c r="F69" s="480">
        <v>352</v>
      </c>
      <c r="G69" s="481">
        <v>0.81458333333333299</v>
      </c>
      <c r="H69" s="482">
        <v>0.2421875</v>
      </c>
      <c r="I69" s="483">
        <v>8.0729166666666796E-2</v>
      </c>
      <c r="J69" s="484">
        <f t="shared" si="3"/>
        <v>42722</v>
      </c>
      <c r="K69" s="480">
        <v>2016</v>
      </c>
      <c r="L69" s="480">
        <v>353</v>
      </c>
      <c r="M69" s="485">
        <v>0.13750000000000001</v>
      </c>
      <c r="N69" s="501">
        <v>3000</v>
      </c>
      <c r="O69" s="486" t="str">
        <f>IF(VALUE(LEFT($R69,3))&lt;192,"",IF(VALUE(LEFT($R69,3))&gt;597,"",VLOOKUP(VALUE(LEFT($R69,3)),'CIRS Table Info'!$B$6:$J$425,2,FALSE)))</f>
        <v/>
      </c>
      <c r="P69" s="498" t="str">
        <f>IF(MID(R69,5,3)="",IF(VALUE(LEFT($R69,3))&lt;192,"",IF(VALUE(LEFT($R69,3))&gt;597,"",CONCATENATE(VLOOKUP(VALUE(LEFT($R69,3)),'CIRS Table Info'!$B$6:$J$425,6,FALSE),"/",VLOOKUP(VALUE(LEFT($R69,3)),'CIRS Table Info'!$B$6:$J$425,8,FALSE),IF(VLOOKUP(VALUE(LEFT($R69,3)),'CIRS Table Info'!$B$6:$J$425,9,FALSE)="Closed","/CLOSED","")))),IF(VALUE(MID($R69,5,3))&lt;192,"",IF(VALUE(MID($R69,5,3))&gt;597,"",CONCATENATE(VLOOKUP(VALUE(MID($R69,5,3)),'CIRS Table Info'!$B$6:$J$425,6,FALSE),"/",VLOOKUP(VALUE(MID($R69,5,3)),'CIRS Table Info'!$B$6:$J$425,8,FALSE),IF(VLOOKUP(VALUE(MID($R69,5,3)),'CIRS Table Info'!$B$6:$J$425,9,FALSE)="Closed","/CLOSED","")))))</f>
        <v/>
      </c>
      <c r="Q69" s="487"/>
      <c r="R69" s="488">
        <f>VLOOKUP($C69,'CIRS Table IDs'!$B:$P,14,FALSE)</f>
        <v>809</v>
      </c>
      <c r="S69" s="489">
        <v>1389.6488039999999</v>
      </c>
      <c r="T69" s="490">
        <v>94.999999000000003</v>
      </c>
    </row>
    <row r="70" spans="1:24" x14ac:dyDescent="0.2">
      <c r="A70" s="21"/>
      <c r="B70" s="21">
        <v>61</v>
      </c>
      <c r="C70" s="45" t="s">
        <v>457</v>
      </c>
      <c r="D70" s="35">
        <f t="shared" si="2"/>
        <v>42722</v>
      </c>
      <c r="E70" s="36">
        <v>2016</v>
      </c>
      <c r="F70" s="36">
        <v>353</v>
      </c>
      <c r="G70" s="161">
        <v>0.17569444444444399</v>
      </c>
      <c r="H70" s="392">
        <v>8.3333333333333301E-2</v>
      </c>
      <c r="I70" s="393">
        <v>0</v>
      </c>
      <c r="J70" s="164">
        <f t="shared" si="3"/>
        <v>42722</v>
      </c>
      <c r="K70" s="36">
        <v>2016</v>
      </c>
      <c r="L70" s="36">
        <v>353</v>
      </c>
      <c r="M70" s="37">
        <v>0.25902777777777802</v>
      </c>
      <c r="N70" s="499" t="s">
        <v>307</v>
      </c>
      <c r="O70" s="367">
        <f>IF(VALUE(LEFT($R70,3))&lt;192,"",IF(VALUE(LEFT($R70,3))&gt;597,"",VLOOKUP(VALUE(LEFT($R70,3)),'CIRS Table Info'!$B$6:$J$425,2,FALSE)))</f>
        <v>0.53</v>
      </c>
      <c r="P70" s="497" t="str">
        <f>IF(MID(R70,5,3)="",IF(VALUE(LEFT($R70,3))&lt;192,"",IF(VALUE(LEFT($R70,3))&gt;597,"",CONCATENATE(VLOOKUP(VALUE(LEFT($R70,3)),'CIRS Table Info'!$B$6:$J$425,6,FALSE),"/",VLOOKUP(VALUE(LEFT($R70,3)),'CIRS Table Info'!$B$6:$J$425,8,FALSE),IF(VLOOKUP(VALUE(LEFT($R70,3)),'CIRS Table Info'!$B$6:$J$425,9,FALSE)="Closed","/CLOSED","")))),IF(VALUE(MID($R70,5,3))&lt;192,"",IF(VALUE(MID($R70,5,3))&gt;597,"",CONCATENATE(VLOOKUP(VALUE(MID($R70,5,3)),'CIRS Table Info'!$B$6:$J$425,6,FALSE),"/",VLOOKUP(VALUE(MID($R70,5,3)),'CIRS Table Info'!$B$6:$J$425,8,FALSE),IF(VLOOKUP(VALUE(MID($R70,5,3)),'CIRS Table Info'!$B$6:$J$425,9,FALSE)="Closed","/CLOSED","")))))</f>
        <v>Blink/Blink</v>
      </c>
      <c r="Q70" s="171"/>
      <c r="R70" s="172">
        <f>VLOOKUP($C70,'CIRS Table IDs'!$B:$P,14,FALSE)</f>
        <v>341</v>
      </c>
      <c r="S70" s="410">
        <v>1624.0040280000001</v>
      </c>
      <c r="T70" s="411">
        <v>92.672770999999997</v>
      </c>
    </row>
    <row r="71" spans="1:24" x14ac:dyDescent="0.2">
      <c r="A71" s="21"/>
      <c r="B71" s="21">
        <v>62</v>
      </c>
      <c r="C71" s="45" t="s">
        <v>458</v>
      </c>
      <c r="D71" s="35">
        <f t="shared" si="2"/>
        <v>42722</v>
      </c>
      <c r="E71" s="36">
        <v>2016</v>
      </c>
      <c r="F71" s="36">
        <v>353</v>
      </c>
      <c r="G71" s="161">
        <v>0.25902777777777802</v>
      </c>
      <c r="H71" s="392">
        <v>0.19097222222222199</v>
      </c>
      <c r="I71" s="393">
        <v>0</v>
      </c>
      <c r="J71" s="164">
        <f t="shared" si="3"/>
        <v>42722</v>
      </c>
      <c r="K71" s="36">
        <v>2016</v>
      </c>
      <c r="L71" s="36">
        <v>353</v>
      </c>
      <c r="M71" s="37">
        <v>0.45</v>
      </c>
      <c r="N71" s="499" t="s">
        <v>307</v>
      </c>
      <c r="O71" s="367">
        <f>IF(VALUE(LEFT($R71,3))&lt;192,"",IF(VALUE(LEFT($R71,3))&gt;597,"",VLOOKUP(VALUE(LEFT($R71,3)),'CIRS Table Info'!$B$6:$J$425,2,FALSE)))</f>
        <v>15.67</v>
      </c>
      <c r="P71" s="497" t="str">
        <f>IF(MID(R71,5,3)="",IF(VALUE(LEFT($R71,3))&lt;192,"",IF(VALUE(LEFT($R71,3))&gt;597,"",CONCATENATE(VLOOKUP(VALUE(LEFT($R71,3)),'CIRS Table Info'!$B$6:$J$425,6,FALSE),"/",VLOOKUP(VALUE(LEFT($R71,3)),'CIRS Table Info'!$B$6:$J$425,8,FALSE),IF(VLOOKUP(VALUE(LEFT($R71,3)),'CIRS Table Info'!$B$6:$J$425,9,FALSE)="Closed","/CLOSED","")))),IF(VALUE(MID($R71,5,3))&lt;192,"",IF(VALUE(MID($R71,5,3))&gt;597,"",CONCATENATE(VLOOKUP(VALUE(MID($R71,5,3)),'CIRS Table Info'!$B$6:$J$425,6,FALSE),"/",VLOOKUP(VALUE(MID($R71,5,3)),'CIRS Table Info'!$B$6:$J$425,8,FALSE),IF(VLOOKUP(VALUE(MID($R71,5,3)),'CIRS Table Info'!$B$6:$J$425,9,FALSE)="Closed","/CLOSED","")))))</f>
        <v>Centers/</v>
      </c>
      <c r="Q71" s="171"/>
      <c r="R71" s="172" t="str">
        <f>VLOOKUP($C71,'CIRS Table IDs'!$B:$P,14,FALSE)</f>
        <v>203,200,203</v>
      </c>
      <c r="S71" s="410">
        <v>1628.0076899999999</v>
      </c>
      <c r="T71" s="411">
        <v>98.998547000000002</v>
      </c>
    </row>
    <row r="72" spans="1:24" x14ac:dyDescent="0.2">
      <c r="A72" s="21"/>
      <c r="B72" s="21">
        <v>63</v>
      </c>
      <c r="C72" s="45" t="s">
        <v>460</v>
      </c>
      <c r="D72" s="35">
        <f t="shared" ref="D72:D103" si="4">DATE(E72,1,F72)</f>
        <v>42722</v>
      </c>
      <c r="E72" s="36">
        <v>2016</v>
      </c>
      <c r="F72" s="36">
        <v>353</v>
      </c>
      <c r="G72" s="161">
        <v>0.45</v>
      </c>
      <c r="H72" s="392">
        <v>0.15625</v>
      </c>
      <c r="I72" s="393">
        <v>0</v>
      </c>
      <c r="J72" s="164">
        <f t="shared" si="3"/>
        <v>42722</v>
      </c>
      <c r="K72" s="36">
        <v>2016</v>
      </c>
      <c r="L72" s="36">
        <v>353</v>
      </c>
      <c r="M72" s="37">
        <v>0.60624999999999996</v>
      </c>
      <c r="N72" s="499" t="s">
        <v>307</v>
      </c>
      <c r="O72" s="367">
        <f>IF(VALUE(LEFT($R72,3))&lt;192,"",IF(VALUE(LEFT($R72,3))&gt;597,"",VLOOKUP(VALUE(LEFT($R72,3)),'CIRS Table Info'!$B$6:$J$425,2,FALSE)))</f>
        <v>15.67</v>
      </c>
      <c r="P72" s="497" t="s">
        <v>700</v>
      </c>
      <c r="Q72" s="171"/>
      <c r="R72" s="172">
        <f>VLOOKUP($C72,'CIRS Table IDs'!$B:$P,14,FALSE)</f>
        <v>192</v>
      </c>
      <c r="S72" s="410">
        <v>1439.7570800000001</v>
      </c>
      <c r="T72" s="411">
        <v>99.340295999999995</v>
      </c>
      <c r="W72" s="49"/>
      <c r="X72" s="49"/>
    </row>
    <row r="73" spans="1:24" x14ac:dyDescent="0.2">
      <c r="A73" s="21"/>
      <c r="B73" s="21">
        <v>64</v>
      </c>
      <c r="C73" s="45" t="s">
        <v>461</v>
      </c>
      <c r="D73" s="35">
        <f t="shared" si="4"/>
        <v>42722</v>
      </c>
      <c r="E73" s="36">
        <v>2016</v>
      </c>
      <c r="F73" s="36">
        <v>353</v>
      </c>
      <c r="G73" s="161">
        <v>0.60624999999999996</v>
      </c>
      <c r="H73" s="392">
        <v>0.163194444444444</v>
      </c>
      <c r="I73" s="393">
        <v>0</v>
      </c>
      <c r="J73" s="164">
        <f t="shared" ref="J73:J104" si="5">DATE(K73,1,L73)</f>
        <v>42722</v>
      </c>
      <c r="K73" s="36">
        <v>2016</v>
      </c>
      <c r="L73" s="36">
        <v>353</v>
      </c>
      <c r="M73" s="37">
        <v>0.76944444444444404</v>
      </c>
      <c r="N73" s="499" t="s">
        <v>307</v>
      </c>
      <c r="O73" s="367">
        <f>IF(VALUE(LEFT($R73,3))&lt;192,"",IF(VALUE(LEFT($R73,3))&gt;597,"",VLOOKUP(VALUE(LEFT($R73,3)),'CIRS Table Info'!$B$6:$J$425,2,FALSE)))</f>
        <v>15.67</v>
      </c>
      <c r="P73" s="497" t="str">
        <f>IF(MID(R73,5,3)="",IF(VALUE(LEFT($R73,3))&lt;192,"",IF(VALUE(LEFT($R73,3))&gt;597,"",CONCATENATE(VLOOKUP(VALUE(LEFT($R73,3)),'CIRS Table Info'!$B$6:$J$425,6,FALSE),"/",VLOOKUP(VALUE(LEFT($R73,3)),'CIRS Table Info'!$B$6:$J$425,8,FALSE),IF(VLOOKUP(VALUE(LEFT($R73,3)),'CIRS Table Info'!$B$6:$J$425,9,FALSE)="Closed","/CLOSED","")))),IF(VALUE(MID($R73,5,3))&lt;192,"",IF(VALUE(MID($R73,5,3))&gt;597,"",CONCATENATE(VLOOKUP(VALUE(MID($R73,5,3)),'CIRS Table Info'!$B$6:$J$425,6,FALSE),"/",VLOOKUP(VALUE(MID($R73,5,3)),'CIRS Table Info'!$B$6:$J$425,8,FALSE),IF(VLOOKUP(VALUE(MID($R73,5,3)),'CIRS Table Info'!$B$6:$J$425,9,FALSE)="Closed","/CLOSED","")))))</f>
        <v>Centers/</v>
      </c>
      <c r="Q73" s="171"/>
      <c r="R73" s="172" t="str">
        <f>VLOOKUP($C73,'CIRS Table IDs'!$B:$P,14,FALSE)</f>
        <v>203,200,203</v>
      </c>
      <c r="S73" s="410">
        <v>1478.2310789999999</v>
      </c>
      <c r="T73" s="411">
        <v>97.555696999999995</v>
      </c>
      <c r="V73" s="49"/>
      <c r="W73" s="49"/>
    </row>
    <row r="74" spans="1:24" x14ac:dyDescent="0.2">
      <c r="A74" s="21"/>
      <c r="B74" s="21">
        <v>65</v>
      </c>
      <c r="C74" s="45" t="s">
        <v>464</v>
      </c>
      <c r="D74" s="35">
        <f t="shared" si="4"/>
        <v>42722</v>
      </c>
      <c r="E74" s="36">
        <v>2016</v>
      </c>
      <c r="F74" s="36">
        <v>353</v>
      </c>
      <c r="G74" s="161">
        <v>0.76944444444444404</v>
      </c>
      <c r="H74" s="392">
        <v>6.31944444444444E-2</v>
      </c>
      <c r="I74" s="393">
        <v>0</v>
      </c>
      <c r="J74" s="164">
        <f t="shared" si="5"/>
        <v>42722</v>
      </c>
      <c r="K74" s="36">
        <v>2016</v>
      </c>
      <c r="L74" s="36">
        <v>353</v>
      </c>
      <c r="M74" s="37">
        <v>0.83263888888888904</v>
      </c>
      <c r="N74" s="499" t="s">
        <v>307</v>
      </c>
      <c r="O74" s="367">
        <f>IF(VALUE(LEFT($R74,3))&lt;192,"",IF(VALUE(LEFT($R74,3))&gt;597,"",VLOOKUP(VALUE(LEFT($R74,3)),'CIRS Table Info'!$B$6:$J$425,2,FALSE)))</f>
        <v>15.67</v>
      </c>
      <c r="P74" s="497" t="str">
        <f>IF(MID(R74,5,3)="",IF(VALUE(LEFT($R74,3))&lt;192,"",IF(VALUE(LEFT($R74,3))&gt;597,"",CONCATENATE(VLOOKUP(VALUE(LEFT($R74,3)),'CIRS Table Info'!$B$6:$J$425,6,FALSE),"/",VLOOKUP(VALUE(LEFT($R74,3)),'CIRS Table Info'!$B$6:$J$425,8,FALSE),IF(VLOOKUP(VALUE(LEFT($R74,3)),'CIRS Table Info'!$B$6:$J$425,9,FALSE)="Closed","/CLOSED","")))),IF(VALUE(MID($R74,5,3))&lt;192,"",IF(VALUE(MID($R74,5,3))&gt;597,"",CONCATENATE(VLOOKUP(VALUE(MID($R74,5,3)),'CIRS Table Info'!$B$6:$J$425,6,FALSE),"/",VLOOKUP(VALUE(MID($R74,5,3)),'CIRS Table Info'!$B$6:$J$425,8,FALSE),IF(VLOOKUP(VALUE(MID($R74,5,3)),'CIRS Table Info'!$B$6:$J$425,9,FALSE)="Closed","/CLOSED","")))))</f>
        <v>Centers/</v>
      </c>
      <c r="Q74" s="171"/>
      <c r="R74" s="172">
        <f>VLOOKUP($C74,'CIRS Table IDs'!$B:$P,14,FALSE)</f>
        <v>400</v>
      </c>
      <c r="S74" s="410">
        <v>1503.2886960000001</v>
      </c>
      <c r="T74" s="411">
        <v>93.180913000000004</v>
      </c>
      <c r="W74" s="49"/>
      <c r="X74" s="49"/>
    </row>
    <row r="75" spans="1:24" x14ac:dyDescent="0.2">
      <c r="A75" s="21"/>
      <c r="B75" s="21">
        <v>66</v>
      </c>
      <c r="C75" s="45" t="s">
        <v>465</v>
      </c>
      <c r="D75" s="35">
        <f t="shared" si="4"/>
        <v>42722</v>
      </c>
      <c r="E75" s="36">
        <v>2016</v>
      </c>
      <c r="F75" s="36">
        <v>353</v>
      </c>
      <c r="G75" s="161">
        <v>0.83263888888888904</v>
      </c>
      <c r="H75" s="392">
        <v>7.9861111111111105E-2</v>
      </c>
      <c r="I75" s="393">
        <v>0</v>
      </c>
      <c r="J75" s="164">
        <f t="shared" si="5"/>
        <v>42722</v>
      </c>
      <c r="K75" s="36">
        <v>2016</v>
      </c>
      <c r="L75" s="36">
        <v>353</v>
      </c>
      <c r="M75" s="37">
        <v>0.91249999999999998</v>
      </c>
      <c r="N75" s="499" t="s">
        <v>307</v>
      </c>
      <c r="O75" s="367">
        <f>IF(VALUE(LEFT($R75,3))&lt;192,"",IF(VALUE(LEFT($R75,3))&gt;597,"",VLOOKUP(VALUE(LEFT($R75,3)),'CIRS Table Info'!$B$6:$J$425,2,FALSE)))</f>
        <v>15.67</v>
      </c>
      <c r="P75" s="497" t="str">
        <f>IF(MID(R75,5,3)="",IF(VALUE(LEFT($R75,3))&lt;192,"",IF(VALUE(LEFT($R75,3))&gt;597,"",CONCATENATE(VLOOKUP(VALUE(LEFT($R75,3)),'CIRS Table Info'!$B$6:$J$425,6,FALSE),"/",VLOOKUP(VALUE(LEFT($R75,3)),'CIRS Table Info'!$B$6:$J$425,8,FALSE),IF(VLOOKUP(VALUE(LEFT($R75,3)),'CIRS Table Info'!$B$6:$J$425,9,FALSE)="Closed","/CLOSED","")))),IF(VALUE(MID($R75,5,3))&lt;192,"",IF(VALUE(MID($R75,5,3))&gt;597,"",CONCATENATE(VLOOKUP(VALUE(MID($R75,5,3)),'CIRS Table Info'!$B$6:$J$425,6,FALSE),"/",VLOOKUP(VALUE(MID($R75,5,3)),'CIRS Table Info'!$B$6:$J$425,8,FALSE),IF(VLOOKUP(VALUE(MID($R75,5,3)),'CIRS Table Info'!$B$6:$J$425,9,FALSE)="Closed","/CLOSED","")))))</f>
        <v>Blink/Blink</v>
      </c>
      <c r="Q75" s="171"/>
      <c r="R75" s="172">
        <f>VLOOKUP($C75,'CIRS Table IDs'!$B:$P,14,FALSE)</f>
        <v>405</v>
      </c>
      <c r="S75" s="410">
        <v>1496.0198969999999</v>
      </c>
      <c r="T75" s="411">
        <v>92.944545000000005</v>
      </c>
      <c r="W75" s="49"/>
      <c r="X75" s="49"/>
    </row>
    <row r="76" spans="1:24" x14ac:dyDescent="0.2">
      <c r="A76" s="21"/>
      <c r="B76" s="21">
        <v>67</v>
      </c>
      <c r="C76" s="45" t="s">
        <v>466</v>
      </c>
      <c r="D76" s="35">
        <f t="shared" si="4"/>
        <v>42722</v>
      </c>
      <c r="E76" s="36">
        <v>2016</v>
      </c>
      <c r="F76" s="36">
        <v>353</v>
      </c>
      <c r="G76" s="161">
        <v>0.91249999999999998</v>
      </c>
      <c r="H76" s="392">
        <v>6.0416666666666702E-2</v>
      </c>
      <c r="I76" s="393">
        <v>0</v>
      </c>
      <c r="J76" s="164">
        <f t="shared" si="5"/>
        <v>42722</v>
      </c>
      <c r="K76" s="36">
        <v>2016</v>
      </c>
      <c r="L76" s="36">
        <v>353</v>
      </c>
      <c r="M76" s="37">
        <v>0.97291666666666698</v>
      </c>
      <c r="N76" s="499" t="s">
        <v>307</v>
      </c>
      <c r="O76" s="367">
        <f>IF(VALUE(LEFT($R76,3))&lt;192,"",IF(VALUE(LEFT($R76,3))&gt;597,"",VLOOKUP(VALUE(LEFT($R76,3)),'CIRS Table Info'!$B$6:$J$425,2,FALSE)))</f>
        <v>15.67</v>
      </c>
      <c r="P76" s="497" t="str">
        <f>IF(MID(R76,5,3)="",IF(VALUE(LEFT($R76,3))&lt;192,"",IF(VALUE(LEFT($R76,3))&gt;597,"",CONCATENATE(VLOOKUP(VALUE(LEFT($R76,3)),'CIRS Table Info'!$B$6:$J$425,6,FALSE),"/",VLOOKUP(VALUE(LEFT($R76,3)),'CIRS Table Info'!$B$6:$J$425,8,FALSE),IF(VLOOKUP(VALUE(LEFT($R76,3)),'CIRS Table Info'!$B$6:$J$425,9,FALSE)="Closed","/CLOSED","")))),IF(VALUE(MID($R76,5,3))&lt;192,"",IF(VALUE(MID($R76,5,3))&gt;597,"",CONCATENATE(VLOOKUP(VALUE(MID($R76,5,3)),'CIRS Table Info'!$B$6:$J$425,6,FALSE),"/",VLOOKUP(VALUE(MID($R76,5,3)),'CIRS Table Info'!$B$6:$J$425,8,FALSE),IF(VLOOKUP(VALUE(MID($R76,5,3)),'CIRS Table Info'!$B$6:$J$425,9,FALSE)="Closed","/CLOSED","")))))</f>
        <v>Centers/</v>
      </c>
      <c r="Q76" s="171"/>
      <c r="R76" s="172">
        <f>VLOOKUP($C76,'CIRS Table IDs'!$B:$P,14,FALSE)</f>
        <v>400</v>
      </c>
      <c r="S76" s="410">
        <v>1850.494995</v>
      </c>
      <c r="T76" s="411">
        <v>94.683443999999994</v>
      </c>
    </row>
    <row r="77" spans="1:24" x14ac:dyDescent="0.2">
      <c r="A77" s="21"/>
      <c r="B77" s="21">
        <v>68</v>
      </c>
      <c r="C77" s="45" t="s">
        <v>467</v>
      </c>
      <c r="D77" s="35">
        <f t="shared" si="4"/>
        <v>42722</v>
      </c>
      <c r="E77" s="36">
        <v>2016</v>
      </c>
      <c r="F77" s="36">
        <v>353</v>
      </c>
      <c r="G77" s="161">
        <v>0.97291666666666698</v>
      </c>
      <c r="H77" s="392">
        <v>0.16666666666666699</v>
      </c>
      <c r="I77" s="393">
        <v>0</v>
      </c>
      <c r="J77" s="164">
        <f t="shared" si="5"/>
        <v>42723</v>
      </c>
      <c r="K77" s="36">
        <v>2016</v>
      </c>
      <c r="L77" s="36">
        <v>354</v>
      </c>
      <c r="M77" s="37">
        <v>0.139583333333333</v>
      </c>
      <c r="N77" s="499" t="s">
        <v>307</v>
      </c>
      <c r="O77" s="367">
        <f>IF(VALUE(LEFT($R77,3))&lt;192,"",IF(VALUE(LEFT($R77,3))&gt;597,"",VLOOKUP(VALUE(LEFT($R77,3)),'CIRS Table Info'!$B$6:$J$425,2,FALSE)))</f>
        <v>15.67</v>
      </c>
      <c r="P77" s="497" t="str">
        <f>IF(MID(R77,5,3)="",IF(VALUE(LEFT($R77,3))&lt;192,"",IF(VALUE(LEFT($R77,3))&gt;597,"",CONCATENATE(VLOOKUP(VALUE(LEFT($R77,3)),'CIRS Table Info'!$B$6:$J$425,6,FALSE),"/",VLOOKUP(VALUE(LEFT($R77,3)),'CIRS Table Info'!$B$6:$J$425,8,FALSE),IF(VLOOKUP(VALUE(LEFT($R77,3)),'CIRS Table Info'!$B$6:$J$425,9,FALSE)="Closed","/CLOSED","")))),IF(VALUE(MID($R77,5,3))&lt;192,"",IF(VALUE(MID($R77,5,3))&gt;597,"",CONCATENATE(VLOOKUP(VALUE(MID($R77,5,3)),'CIRS Table Info'!$B$6:$J$425,6,FALSE),"/",VLOOKUP(VALUE(MID($R77,5,3)),'CIRS Table Info'!$B$6:$J$425,8,FALSE),IF(VLOOKUP(VALUE(MID($R77,5,3)),'CIRS Table Info'!$B$6:$J$425,9,FALSE)="Closed","/CLOSED","")))))</f>
        <v>Centers/</v>
      </c>
      <c r="Q77" s="171"/>
      <c r="R77" s="172" t="str">
        <f>VLOOKUP($C77,'CIRS Table IDs'!$B:$P,14,FALSE)</f>
        <v>203,200,203</v>
      </c>
      <c r="S77" s="410">
        <v>1509.0322269999999</v>
      </c>
      <c r="T77" s="411">
        <v>78.393840999999995</v>
      </c>
    </row>
    <row r="78" spans="1:24" x14ac:dyDescent="0.2">
      <c r="A78" s="21"/>
      <c r="B78" s="21">
        <v>69</v>
      </c>
      <c r="C78" s="45" t="s">
        <v>469</v>
      </c>
      <c r="D78" s="35">
        <f t="shared" si="4"/>
        <v>42723</v>
      </c>
      <c r="E78" s="36">
        <v>2016</v>
      </c>
      <c r="F78" s="36">
        <v>354</v>
      </c>
      <c r="G78" s="161">
        <v>0.139583333333333</v>
      </c>
      <c r="H78" s="392">
        <v>4.1666666666666699E-2</v>
      </c>
      <c r="I78" s="393">
        <v>0</v>
      </c>
      <c r="J78" s="164">
        <f t="shared" si="5"/>
        <v>42723</v>
      </c>
      <c r="K78" s="36">
        <v>2016</v>
      </c>
      <c r="L78" s="36">
        <v>354</v>
      </c>
      <c r="M78" s="37">
        <v>0.18124999999999999</v>
      </c>
      <c r="N78" s="499" t="s">
        <v>307</v>
      </c>
      <c r="O78" s="367">
        <f>IF(VALUE(LEFT($R78,3))&lt;192,"",IF(VALUE(LEFT($R78,3))&gt;597,"",VLOOKUP(VALUE(LEFT($R78,3)),'CIRS Table Info'!$B$6:$J$425,2,FALSE)))</f>
        <v>15.67</v>
      </c>
      <c r="P78" s="497" t="s">
        <v>700</v>
      </c>
      <c r="Q78" s="171"/>
      <c r="R78" s="172">
        <f>VLOOKUP($C78,'CIRS Table IDs'!$B:$P,14,FALSE)</f>
        <v>192</v>
      </c>
      <c r="S78" s="410">
        <v>1678.547241</v>
      </c>
      <c r="T78" s="411">
        <v>68.781096000000005</v>
      </c>
    </row>
    <row r="79" spans="1:24" x14ac:dyDescent="0.2">
      <c r="A79" s="21"/>
      <c r="B79" s="21">
        <v>70</v>
      </c>
      <c r="C79" s="45" t="s">
        <v>470</v>
      </c>
      <c r="D79" s="35">
        <f t="shared" si="4"/>
        <v>42723</v>
      </c>
      <c r="E79" s="36">
        <v>2016</v>
      </c>
      <c r="F79" s="36">
        <v>354</v>
      </c>
      <c r="G79" s="161">
        <v>0.18124999999999999</v>
      </c>
      <c r="H79" s="392">
        <v>0.16666666666666699</v>
      </c>
      <c r="I79" s="393">
        <v>0</v>
      </c>
      <c r="J79" s="164">
        <f t="shared" si="5"/>
        <v>42723</v>
      </c>
      <c r="K79" s="36">
        <v>2016</v>
      </c>
      <c r="L79" s="36">
        <v>354</v>
      </c>
      <c r="M79" s="37">
        <v>0.34791666666666698</v>
      </c>
      <c r="N79" s="499" t="s">
        <v>307</v>
      </c>
      <c r="O79" s="367">
        <f>IF(VALUE(LEFT($R79,3))&lt;192,"",IF(VALUE(LEFT($R79,3))&gt;597,"",VLOOKUP(VALUE(LEFT($R79,3)),'CIRS Table Info'!$B$6:$J$425,2,FALSE)))</f>
        <v>15.67</v>
      </c>
      <c r="P79" s="497" t="str">
        <f>IF(MID(R79,5,3)="",IF(VALUE(LEFT($R79,3))&lt;192,"",IF(VALUE(LEFT($R79,3))&gt;597,"",CONCATENATE(VLOOKUP(VALUE(LEFT($R79,3)),'CIRS Table Info'!$B$6:$J$425,6,FALSE),"/",VLOOKUP(VALUE(LEFT($R79,3)),'CIRS Table Info'!$B$6:$J$425,8,FALSE),IF(VLOOKUP(VALUE(LEFT($R79,3)),'CIRS Table Info'!$B$6:$J$425,9,FALSE)="Closed","/CLOSED","")))),IF(VALUE(MID($R79,5,3))&lt;192,"",IF(VALUE(MID($R79,5,3))&gt;597,"",CONCATENATE(VLOOKUP(VALUE(MID($R79,5,3)),'CIRS Table Info'!$B$6:$J$425,6,FALSE),"/",VLOOKUP(VALUE(MID($R79,5,3)),'CIRS Table Info'!$B$6:$J$425,8,FALSE),IF(VLOOKUP(VALUE(MID($R79,5,3)),'CIRS Table Info'!$B$6:$J$425,9,FALSE)="Closed","/CLOSED","")))))</f>
        <v>Centers/</v>
      </c>
      <c r="Q79" s="171"/>
      <c r="R79" s="172" t="str">
        <f>VLOOKUP($C79,'CIRS Table IDs'!$B:$P,14,FALSE)</f>
        <v>203,200,203</v>
      </c>
      <c r="S79" s="410">
        <v>1847.659058</v>
      </c>
      <c r="T79" s="411">
        <v>89.228272000000004</v>
      </c>
      <c r="V79" s="49"/>
      <c r="W79" s="49"/>
      <c r="X79" s="49"/>
    </row>
    <row r="80" spans="1:24" x14ac:dyDescent="0.2">
      <c r="A80" s="477">
        <v>17</v>
      </c>
      <c r="B80" s="477">
        <v>71</v>
      </c>
      <c r="C80" s="478" t="s">
        <v>475</v>
      </c>
      <c r="D80" s="479">
        <f t="shared" si="4"/>
        <v>42723</v>
      </c>
      <c r="E80" s="480">
        <v>2016</v>
      </c>
      <c r="F80" s="480">
        <v>354</v>
      </c>
      <c r="G80" s="481">
        <v>0.90902777777777799</v>
      </c>
      <c r="H80" s="482">
        <v>0.26041666666666702</v>
      </c>
      <c r="I80" s="483">
        <v>8.6805555555555497E-2</v>
      </c>
      <c r="J80" s="484">
        <f t="shared" si="5"/>
        <v>42724</v>
      </c>
      <c r="K80" s="480">
        <v>2016</v>
      </c>
      <c r="L80" s="480">
        <v>355</v>
      </c>
      <c r="M80" s="485">
        <v>0.25624999999999998</v>
      </c>
      <c r="N80" s="501">
        <v>3000</v>
      </c>
      <c r="O80" s="486" t="str">
        <f>IF(VALUE(LEFT($R80,3))&lt;192,"",IF(VALUE(LEFT($R80,3))&gt;597,"",VLOOKUP(VALUE(LEFT($R80,3)),'CIRS Table Info'!$B$6:$J$425,2,FALSE)))</f>
        <v/>
      </c>
      <c r="P80" s="498" t="str">
        <f>IF(MID(R80,5,3)="",IF(VALUE(LEFT($R80,3))&lt;192,"",IF(VALUE(LEFT($R80,3))&gt;597,"",CONCATENATE(VLOOKUP(VALUE(LEFT($R80,3)),'CIRS Table Info'!$B$6:$J$425,6,FALSE),"/",VLOOKUP(VALUE(LEFT($R80,3)),'CIRS Table Info'!$B$6:$J$425,8,FALSE),IF(VLOOKUP(VALUE(LEFT($R80,3)),'CIRS Table Info'!$B$6:$J$425,9,FALSE)="Closed","/CLOSED","")))),IF(VALUE(MID($R80,5,3))&lt;192,"",IF(VALUE(MID($R80,5,3))&gt;597,"",CONCATENATE(VLOOKUP(VALUE(MID($R80,5,3)),'CIRS Table Info'!$B$6:$J$425,6,FALSE),"/",VLOOKUP(VALUE(MID($R80,5,3)),'CIRS Table Info'!$B$6:$J$425,8,FALSE),IF(VLOOKUP(VALUE(MID($R80,5,3)),'CIRS Table Info'!$B$6:$J$425,9,FALSE)="Closed","/CLOSED","")))))</f>
        <v/>
      </c>
      <c r="Q80" s="487"/>
      <c r="R80" s="488">
        <f>VLOOKUP($C80,'CIRS Table IDs'!$B:$P,14,FALSE)</f>
        <v>820</v>
      </c>
      <c r="S80" s="489">
        <v>1074.414673</v>
      </c>
      <c r="T80" s="490">
        <v>100</v>
      </c>
      <c r="W80" s="49"/>
      <c r="X80" s="49"/>
    </row>
    <row r="81" spans="1:24" x14ac:dyDescent="0.2">
      <c r="A81" s="21"/>
      <c r="B81" s="21">
        <v>72</v>
      </c>
      <c r="C81" s="45" t="s">
        <v>476</v>
      </c>
      <c r="D81" s="35">
        <f t="shared" si="4"/>
        <v>42724</v>
      </c>
      <c r="E81" s="36">
        <v>2016</v>
      </c>
      <c r="F81" s="36">
        <v>355</v>
      </c>
      <c r="G81" s="161">
        <v>0.28402777777777799</v>
      </c>
      <c r="H81" s="392">
        <v>6.25E-2</v>
      </c>
      <c r="I81" s="393">
        <v>0</v>
      </c>
      <c r="J81" s="164">
        <f t="shared" si="5"/>
        <v>42724</v>
      </c>
      <c r="K81" s="36">
        <v>2016</v>
      </c>
      <c r="L81" s="36">
        <v>355</v>
      </c>
      <c r="M81" s="37">
        <v>0.34652777777777799</v>
      </c>
      <c r="N81" s="499" t="s">
        <v>307</v>
      </c>
      <c r="O81" s="367">
        <f>IF(VALUE(LEFT($R81,3))&lt;192,"",IF(VALUE(LEFT($R81,3))&gt;597,"",VLOOKUP(VALUE(LEFT($R81,3)),'CIRS Table Info'!$B$6:$J$425,2,FALSE)))</f>
        <v>0.53</v>
      </c>
      <c r="P81" s="497" t="str">
        <f>IF(MID(R81,5,3)="",IF(VALUE(LEFT($R81,3))&lt;192,"",IF(VALUE(LEFT($R81,3))&gt;597,"",CONCATENATE(VLOOKUP(VALUE(LEFT($R81,3)),'CIRS Table Info'!$B$6:$J$425,6,FALSE),"/",VLOOKUP(VALUE(LEFT($R81,3)),'CIRS Table Info'!$B$6:$J$425,8,FALSE),IF(VLOOKUP(VALUE(LEFT($R81,3)),'CIRS Table Info'!$B$6:$J$425,9,FALSE)="Closed","/CLOSED","")))),IF(VALUE(MID($R81,5,3))&lt;192,"",IF(VALUE(MID($R81,5,3))&gt;597,"",CONCATENATE(VLOOKUP(VALUE(MID($R81,5,3)),'CIRS Table Info'!$B$6:$J$425,6,FALSE),"/",VLOOKUP(VALUE(MID($R81,5,3)),'CIRS Table Info'!$B$6:$J$425,8,FALSE),IF(VLOOKUP(VALUE(MID($R81,5,3)),'CIRS Table Info'!$B$6:$J$425,9,FALSE)="Closed","/CLOSED","")))))</f>
        <v>Blink/Blink</v>
      </c>
      <c r="Q81" s="171"/>
      <c r="R81" s="172">
        <f>VLOOKUP($C81,'CIRS Table IDs'!$B:$P,14,FALSE)</f>
        <v>341</v>
      </c>
      <c r="S81" s="410">
        <v>1294.5229489999999</v>
      </c>
      <c r="T81" s="411">
        <v>99.891352999999995</v>
      </c>
      <c r="W81" s="49"/>
      <c r="X81" s="49"/>
    </row>
    <row r="82" spans="1:24" x14ac:dyDescent="0.2">
      <c r="A82" s="21"/>
      <c r="B82" s="21">
        <v>73</v>
      </c>
      <c r="C82" s="45" t="s">
        <v>477</v>
      </c>
      <c r="D82" s="35">
        <f t="shared" si="4"/>
        <v>42724</v>
      </c>
      <c r="E82" s="36">
        <v>2016</v>
      </c>
      <c r="F82" s="36">
        <v>355</v>
      </c>
      <c r="G82" s="161">
        <v>0.34652777777777799</v>
      </c>
      <c r="H82" s="392">
        <v>0.17777777777777801</v>
      </c>
      <c r="I82" s="393">
        <v>0</v>
      </c>
      <c r="J82" s="164">
        <f t="shared" si="5"/>
        <v>42724</v>
      </c>
      <c r="K82" s="36">
        <v>2016</v>
      </c>
      <c r="L82" s="36">
        <v>355</v>
      </c>
      <c r="M82" s="37">
        <v>0.52430555555555602</v>
      </c>
      <c r="N82" s="499" t="s">
        <v>307</v>
      </c>
      <c r="O82" s="367">
        <f>IF(VALUE(LEFT($R82,3))&lt;192,"",IF(VALUE(LEFT($R82,3))&gt;597,"",VLOOKUP(VALUE(LEFT($R82,3)),'CIRS Table Info'!$B$6:$J$425,2,FALSE)))</f>
        <v>15.67</v>
      </c>
      <c r="P82" s="497" t="str">
        <f>IF(MID(R82,5,3)="",IF(VALUE(LEFT($R82,3))&lt;192,"",IF(VALUE(LEFT($R82,3))&gt;597,"",CONCATENATE(VLOOKUP(VALUE(LEFT($R82,3)),'CIRS Table Info'!$B$6:$J$425,6,FALSE),"/",VLOOKUP(VALUE(LEFT($R82,3)),'CIRS Table Info'!$B$6:$J$425,8,FALSE),IF(VLOOKUP(VALUE(LEFT($R82,3)),'CIRS Table Info'!$B$6:$J$425,9,FALSE)="Closed","/CLOSED","")))),IF(VALUE(MID($R82,5,3))&lt;192,"",IF(VALUE(MID($R82,5,3))&gt;597,"",CONCATENATE(VLOOKUP(VALUE(MID($R82,5,3)),'CIRS Table Info'!$B$6:$J$425,6,FALSE),"/",VLOOKUP(VALUE(MID($R82,5,3)),'CIRS Table Info'!$B$6:$J$425,8,FALSE),IF(VLOOKUP(VALUE(MID($R82,5,3)),'CIRS Table Info'!$B$6:$J$425,9,FALSE)="Closed","/CLOSED","")))))</f>
        <v>Centers/Centers</v>
      </c>
      <c r="Q82" s="171"/>
      <c r="R82" s="172">
        <f>VLOOKUP($C82,'CIRS Table IDs'!$B:$P,14,FALSE)</f>
        <v>553</v>
      </c>
      <c r="S82" s="410">
        <v>1387.2261960000001</v>
      </c>
      <c r="T82" s="411">
        <v>99.264634000000001</v>
      </c>
    </row>
    <row r="83" spans="1:24" x14ac:dyDescent="0.2">
      <c r="A83" s="21"/>
      <c r="B83" s="21">
        <v>74</v>
      </c>
      <c r="C83" s="45" t="s">
        <v>478</v>
      </c>
      <c r="D83" s="35">
        <f t="shared" si="4"/>
        <v>42724</v>
      </c>
      <c r="E83" s="36">
        <v>2016</v>
      </c>
      <c r="F83" s="36">
        <v>355</v>
      </c>
      <c r="G83" s="161">
        <v>0.52430555555555602</v>
      </c>
      <c r="H83" s="392">
        <v>0.20833333333333301</v>
      </c>
      <c r="I83" s="393">
        <v>0</v>
      </c>
      <c r="J83" s="164">
        <f t="shared" si="5"/>
        <v>42724</v>
      </c>
      <c r="K83" s="36">
        <v>2016</v>
      </c>
      <c r="L83" s="36">
        <v>355</v>
      </c>
      <c r="M83" s="37">
        <v>0.73263888888888895</v>
      </c>
      <c r="N83" s="499" t="s">
        <v>307</v>
      </c>
      <c r="O83" s="367">
        <f>IF(VALUE(LEFT($R83,3))&lt;192,"",IF(VALUE(LEFT($R83,3))&gt;597,"",VLOOKUP(VALUE(LEFT($R83,3)),'CIRS Table Info'!$B$6:$J$425,2,FALSE)))</f>
        <v>2.85</v>
      </c>
      <c r="P83" s="497" t="str">
        <f>IF(MID(R83,5,3)="",IF(VALUE(LEFT($R83,3))&lt;192,"",IF(VALUE(LEFT($R83,3))&gt;597,"",CONCATENATE(VLOOKUP(VALUE(LEFT($R83,3)),'CIRS Table Info'!$B$6:$J$425,6,FALSE),"/",VLOOKUP(VALUE(LEFT($R83,3)),'CIRS Table Info'!$B$6:$J$425,8,FALSE),IF(VLOOKUP(VALUE(LEFT($R83,3)),'CIRS Table Info'!$B$6:$J$425,9,FALSE)="Closed","/CLOSED","")))),IF(VALUE(MID($R83,5,3))&lt;192,"",IF(VALUE(MID($R83,5,3))&gt;597,"",CONCATENATE(VLOOKUP(VALUE(MID($R83,5,3)),'CIRS Table Info'!$B$6:$J$425,6,FALSE),"/",VLOOKUP(VALUE(MID($R83,5,3)),'CIRS Table Info'!$B$6:$J$425,8,FALSE),IF(VLOOKUP(VALUE(MID($R83,5,3)),'CIRS Table Info'!$B$6:$J$425,9,FALSE)="Closed","/CLOSED","")))))</f>
        <v>Centers/Centers</v>
      </c>
      <c r="Q83" s="171"/>
      <c r="R83" s="172" t="str">
        <f>VLOOKUP($C83,'CIRS Table IDs'!$B:$P,14,FALSE)</f>
        <v>234,231,234</v>
      </c>
      <c r="S83" s="410">
        <v>1046.1854249999999</v>
      </c>
      <c r="T83" s="411">
        <v>100</v>
      </c>
      <c r="W83" s="49"/>
      <c r="X83" s="49"/>
    </row>
    <row r="84" spans="1:24" x14ac:dyDescent="0.2">
      <c r="A84" s="477">
        <v>18</v>
      </c>
      <c r="B84" s="477">
        <v>75</v>
      </c>
      <c r="C84" s="478" t="s">
        <v>482</v>
      </c>
      <c r="D84" s="479">
        <f t="shared" si="4"/>
        <v>42724</v>
      </c>
      <c r="E84" s="480">
        <v>2016</v>
      </c>
      <c r="F84" s="480">
        <v>355</v>
      </c>
      <c r="G84" s="481">
        <v>0.86527777777777803</v>
      </c>
      <c r="H84" s="482">
        <v>0.23177083333333401</v>
      </c>
      <c r="I84" s="483">
        <v>7.7256944444444503E-2</v>
      </c>
      <c r="J84" s="484">
        <f t="shared" si="5"/>
        <v>42725</v>
      </c>
      <c r="K84" s="480">
        <v>2016</v>
      </c>
      <c r="L84" s="480">
        <v>356</v>
      </c>
      <c r="M84" s="485">
        <v>0.17430555555555599</v>
      </c>
      <c r="N84" s="501">
        <v>3000</v>
      </c>
      <c r="O84" s="486" t="str">
        <f>IF(VALUE(LEFT($R84,3))&lt;192,"",IF(VALUE(LEFT($R84,3))&gt;597,"",VLOOKUP(VALUE(LEFT($R84,3)),'CIRS Table Info'!$B$6:$J$425,2,FALSE)))</f>
        <v/>
      </c>
      <c r="P84" s="498" t="str">
        <f>IF(MID(R84,5,3)="",IF(VALUE(LEFT($R84,3))&lt;192,"",IF(VALUE(LEFT($R84,3))&gt;597,"",CONCATENATE(VLOOKUP(VALUE(LEFT($R84,3)),'CIRS Table Info'!$B$6:$J$425,6,FALSE),"/",VLOOKUP(VALUE(LEFT($R84,3)),'CIRS Table Info'!$B$6:$J$425,8,FALSE),IF(VLOOKUP(VALUE(LEFT($R84,3)),'CIRS Table Info'!$B$6:$J$425,9,FALSE)="Closed","/CLOSED","")))),IF(VALUE(MID($R84,5,3))&lt;192,"",IF(VALUE(MID($R84,5,3))&gt;597,"",CONCATENATE(VLOOKUP(VALUE(MID($R84,5,3)),'CIRS Table Info'!$B$6:$J$425,6,FALSE),"/",VLOOKUP(VALUE(MID($R84,5,3)),'CIRS Table Info'!$B$6:$J$425,8,FALSE),IF(VLOOKUP(VALUE(MID($R84,5,3)),'CIRS Table Info'!$B$6:$J$425,9,FALSE)="Closed","/CLOSED","")))))</f>
        <v/>
      </c>
      <c r="Q84" s="487"/>
      <c r="R84" s="488">
        <f>VLOOKUP($C84,'CIRS Table IDs'!$B:$P,14,FALSE)</f>
        <v>824</v>
      </c>
      <c r="S84" s="489">
        <v>1061.7346190000001</v>
      </c>
      <c r="T84" s="490">
        <v>100</v>
      </c>
      <c r="V84" s="49"/>
      <c r="W84" s="49"/>
    </row>
    <row r="85" spans="1:24" x14ac:dyDescent="0.2">
      <c r="A85" s="15"/>
      <c r="B85" s="21">
        <v>76</v>
      </c>
      <c r="C85" s="45" t="s">
        <v>483</v>
      </c>
      <c r="D85" s="35">
        <f t="shared" si="4"/>
        <v>42725</v>
      </c>
      <c r="E85" s="36">
        <v>2016</v>
      </c>
      <c r="F85" s="36">
        <v>356</v>
      </c>
      <c r="G85" s="161">
        <v>0.19166666666666701</v>
      </c>
      <c r="H85" s="392">
        <v>0.55208333333333304</v>
      </c>
      <c r="I85" s="393">
        <v>0</v>
      </c>
      <c r="J85" s="164">
        <f t="shared" si="5"/>
        <v>42725</v>
      </c>
      <c r="K85" s="36">
        <v>2016</v>
      </c>
      <c r="L85" s="36">
        <v>356</v>
      </c>
      <c r="M85" s="37">
        <v>0.74375000000000002</v>
      </c>
      <c r="N85" s="499" t="s">
        <v>307</v>
      </c>
      <c r="O85" s="367">
        <f>IF(VALUE(LEFT($R85,3))&lt;192,"",IF(VALUE(LEFT($R85,3))&gt;597,"",VLOOKUP(VALUE(LEFT($R85,3)),'CIRS Table Info'!$B$6:$J$425,2,FALSE)))</f>
        <v>15.67</v>
      </c>
      <c r="P85" s="497" t="s">
        <v>700</v>
      </c>
      <c r="Q85" s="171"/>
      <c r="R85" s="172">
        <f>VLOOKUP($C85,'CIRS Table IDs'!$B:$P,14,FALSE)</f>
        <v>192</v>
      </c>
      <c r="S85" s="410">
        <v>1441.81897</v>
      </c>
      <c r="T85" s="411">
        <v>99.220412999999994</v>
      </c>
    </row>
    <row r="86" spans="1:24" x14ac:dyDescent="0.2">
      <c r="A86" s="477">
        <v>19</v>
      </c>
      <c r="B86" s="477">
        <v>77</v>
      </c>
      <c r="C86" s="478" t="s">
        <v>484</v>
      </c>
      <c r="D86" s="479">
        <f t="shared" si="4"/>
        <v>42725</v>
      </c>
      <c r="E86" s="480">
        <v>2016</v>
      </c>
      <c r="F86" s="480">
        <v>356</v>
      </c>
      <c r="G86" s="481">
        <v>0.84791666666666698</v>
      </c>
      <c r="H86" s="482">
        <v>0.125</v>
      </c>
      <c r="I86" s="483">
        <v>0.20833333333333301</v>
      </c>
      <c r="J86" s="484">
        <f t="shared" si="5"/>
        <v>42726</v>
      </c>
      <c r="K86" s="480">
        <v>2016</v>
      </c>
      <c r="L86" s="480">
        <v>357</v>
      </c>
      <c r="M86" s="485">
        <v>0.18124999999999999</v>
      </c>
      <c r="N86" s="501">
        <v>1500</v>
      </c>
      <c r="O86" s="486" t="str">
        <f>IF(VALUE(LEFT($R86,3))&lt;192,"",IF(VALUE(LEFT($R86,3))&gt;597,"",VLOOKUP(VALUE(LEFT($R86,3)),'CIRS Table Info'!$B$6:$J$425,2,FALSE)))</f>
        <v/>
      </c>
      <c r="P86" s="498" t="str">
        <f>IF(MID(R86,5,3)="",IF(VALUE(LEFT($R86,3))&lt;192,"",IF(VALUE(LEFT($R86,3))&gt;597,"",CONCATENATE(VLOOKUP(VALUE(LEFT($R86,3)),'CIRS Table Info'!$B$6:$J$425,6,FALSE),"/",VLOOKUP(VALUE(LEFT($R86,3)),'CIRS Table Info'!$B$6:$J$425,8,FALSE),IF(VLOOKUP(VALUE(LEFT($R86,3)),'CIRS Table Info'!$B$6:$J$425,9,FALSE)="Closed","/CLOSED","")))),IF(VALUE(MID($R86,5,3))&lt;192,"",IF(VALUE(MID($R86,5,3))&gt;597,"",CONCATENATE(VLOOKUP(VALUE(MID($R86,5,3)),'CIRS Table Info'!$B$6:$J$425,6,FALSE),"/",VLOOKUP(VALUE(MID($R86,5,3)),'CIRS Table Info'!$B$6:$J$425,8,FALSE),IF(VLOOKUP(VALUE(MID($R86,5,3)),'CIRS Table Info'!$B$6:$J$425,9,FALSE)="Closed","/CLOSED","")))))</f>
        <v/>
      </c>
      <c r="Q86" s="487"/>
      <c r="R86" s="488">
        <f>VLOOKUP($C86,'CIRS Table IDs'!$B:$P,14,FALSE)</f>
        <v>826</v>
      </c>
      <c r="S86" s="489">
        <v>993.75598100000002</v>
      </c>
      <c r="T86" s="490">
        <v>100</v>
      </c>
      <c r="W86" s="49"/>
      <c r="X86" s="49"/>
    </row>
    <row r="87" spans="1:24" x14ac:dyDescent="0.2">
      <c r="A87" s="477">
        <v>20</v>
      </c>
      <c r="B87" s="477">
        <v>78</v>
      </c>
      <c r="C87" s="478" t="s">
        <v>485</v>
      </c>
      <c r="D87" s="479">
        <f t="shared" si="4"/>
        <v>42726</v>
      </c>
      <c r="E87" s="480">
        <v>2016</v>
      </c>
      <c r="F87" s="480">
        <v>357</v>
      </c>
      <c r="G87" s="481">
        <v>0.84236111111111101</v>
      </c>
      <c r="H87" s="482">
        <v>0.25</v>
      </c>
      <c r="I87" s="483">
        <v>8.3333333333333301E-2</v>
      </c>
      <c r="J87" s="484">
        <f t="shared" si="5"/>
        <v>42727</v>
      </c>
      <c r="K87" s="480">
        <v>2016</v>
      </c>
      <c r="L87" s="480">
        <v>358</v>
      </c>
      <c r="M87" s="485">
        <v>0.17569444444444399</v>
      </c>
      <c r="N87" s="501">
        <v>3000</v>
      </c>
      <c r="O87" s="486" t="str">
        <f>IF(VALUE(LEFT($R87,3))&lt;192,"",IF(VALUE(LEFT($R87,3))&gt;597,"",VLOOKUP(VALUE(LEFT($R87,3)),'CIRS Table Info'!$B$6:$J$425,2,FALSE)))</f>
        <v/>
      </c>
      <c r="P87" s="498" t="str">
        <f>IF(MID(R87,5,3)="",IF(VALUE(LEFT($R87,3))&lt;192,"",IF(VALUE(LEFT($R87,3))&gt;597,"",CONCATENATE(VLOOKUP(VALUE(LEFT($R87,3)),'CIRS Table Info'!$B$6:$J$425,6,FALSE),"/",VLOOKUP(VALUE(LEFT($R87,3)),'CIRS Table Info'!$B$6:$J$425,8,FALSE),IF(VLOOKUP(VALUE(LEFT($R87,3)),'CIRS Table Info'!$B$6:$J$425,9,FALSE)="Closed","/CLOSED","")))),IF(VALUE(MID($R87,5,3))&lt;192,"",IF(VALUE(MID($R87,5,3))&gt;597,"",CONCATENATE(VLOOKUP(VALUE(MID($R87,5,3)),'CIRS Table Info'!$B$6:$J$425,6,FALSE),"/",VLOOKUP(VALUE(MID($R87,5,3)),'CIRS Table Info'!$B$6:$J$425,8,FALSE),IF(VLOOKUP(VALUE(MID($R87,5,3)),'CIRS Table Info'!$B$6:$J$425,9,FALSE)="Closed","/CLOSED","")))))</f>
        <v/>
      </c>
      <c r="Q87" s="487"/>
      <c r="R87" s="488">
        <f>VLOOKUP($C87,'CIRS Table IDs'!$B:$P,14,FALSE)</f>
        <v>827</v>
      </c>
      <c r="S87" s="489">
        <v>1298.3664550000001</v>
      </c>
      <c r="T87" s="490">
        <v>98.838907000000006</v>
      </c>
    </row>
    <row r="88" spans="1:24" x14ac:dyDescent="0.2">
      <c r="A88" s="21"/>
      <c r="B88" s="21">
        <v>79</v>
      </c>
      <c r="C88" s="45" t="s">
        <v>486</v>
      </c>
      <c r="D88" s="35">
        <f t="shared" si="4"/>
        <v>42727</v>
      </c>
      <c r="E88" s="36">
        <v>2016</v>
      </c>
      <c r="F88" s="36">
        <v>358</v>
      </c>
      <c r="G88" s="161">
        <v>0.17569444444444399</v>
      </c>
      <c r="H88" s="392">
        <v>0.25</v>
      </c>
      <c r="I88" s="393">
        <v>0</v>
      </c>
      <c r="J88" s="164">
        <f t="shared" si="5"/>
        <v>42727</v>
      </c>
      <c r="K88" s="36">
        <v>2016</v>
      </c>
      <c r="L88" s="36">
        <v>358</v>
      </c>
      <c r="M88" s="37">
        <v>0.42569444444444399</v>
      </c>
      <c r="N88" s="499" t="s">
        <v>307</v>
      </c>
      <c r="O88" s="367">
        <f>IF(VALUE(LEFT($R88,3))&lt;192,"",IF(VALUE(LEFT($R88,3))&gt;597,"",VLOOKUP(VALUE(LEFT($R88,3)),'CIRS Table Info'!$B$6:$J$425,2,FALSE)))</f>
        <v>2.85</v>
      </c>
      <c r="P88" s="497" t="str">
        <f>IF(MID(R88,5,3)="",IF(VALUE(LEFT($R88,3))&lt;192,"",IF(VALUE(LEFT($R88,3))&gt;597,"",CONCATENATE(VLOOKUP(VALUE(LEFT($R88,3)),'CIRS Table Info'!$B$6:$J$425,6,FALSE),"/",VLOOKUP(VALUE(LEFT($R88,3)),'CIRS Table Info'!$B$6:$J$425,8,FALSE),IF(VLOOKUP(VALUE(LEFT($R88,3)),'CIRS Table Info'!$B$6:$J$425,9,FALSE)="Closed","/CLOSED","")))),IF(VALUE(MID($R88,5,3))&lt;192,"",IF(VALUE(MID($R88,5,3))&gt;597,"",CONCATENATE(VLOOKUP(VALUE(MID($R88,5,3)),'CIRS Table Info'!$B$6:$J$425,6,FALSE),"/",VLOOKUP(VALUE(MID($R88,5,3)),'CIRS Table Info'!$B$6:$J$425,8,FALSE),IF(VLOOKUP(VALUE(MID($R88,5,3)),'CIRS Table Info'!$B$6:$J$425,9,FALSE)="Closed","/CLOSED","")))))</f>
        <v>Centers/Centers</v>
      </c>
      <c r="Q88" s="171"/>
      <c r="R88" s="172" t="str">
        <f>VLOOKUP($C88,'CIRS Table IDs'!$B:$P,14,FALSE)</f>
        <v>234,231,234,231,234</v>
      </c>
      <c r="S88" s="410">
        <v>1646.8016359999999</v>
      </c>
      <c r="T88" s="411">
        <v>99.015820000000005</v>
      </c>
    </row>
    <row r="89" spans="1:24" x14ac:dyDescent="0.2">
      <c r="A89" s="21"/>
      <c r="B89" s="21">
        <v>80</v>
      </c>
      <c r="C89" s="45" t="s">
        <v>490</v>
      </c>
      <c r="D89" s="35">
        <f t="shared" si="4"/>
        <v>42727</v>
      </c>
      <c r="E89" s="36">
        <v>2016</v>
      </c>
      <c r="F89" s="36">
        <v>358</v>
      </c>
      <c r="G89" s="161">
        <v>0.42569444444444399</v>
      </c>
      <c r="H89" s="392">
        <v>0.33333333333333298</v>
      </c>
      <c r="I89" s="393">
        <v>0</v>
      </c>
      <c r="J89" s="164">
        <f t="shared" si="5"/>
        <v>42727</v>
      </c>
      <c r="K89" s="36">
        <v>2016</v>
      </c>
      <c r="L89" s="36">
        <v>358</v>
      </c>
      <c r="M89" s="37">
        <v>0.75902777777777797</v>
      </c>
      <c r="N89" s="499" t="s">
        <v>307</v>
      </c>
      <c r="O89" s="367">
        <f>IF(VALUE(LEFT($R89,3))&lt;192,"",IF(VALUE(LEFT($R89,3))&gt;597,"",VLOOKUP(VALUE(LEFT($R89,3)),'CIRS Table Info'!$B$6:$J$425,2,FALSE)))</f>
        <v>15.67</v>
      </c>
      <c r="P89" s="497" t="s">
        <v>680</v>
      </c>
      <c r="Q89" s="171"/>
      <c r="R89" s="513">
        <f>VLOOKUP($C89,'CIRS Table IDs'!$B:$P,14,FALSE)</f>
        <v>211208829</v>
      </c>
      <c r="S89" s="410">
        <v>1775.304443</v>
      </c>
      <c r="T89" s="411">
        <v>84.163409000000001</v>
      </c>
    </row>
    <row r="90" spans="1:24" x14ac:dyDescent="0.2">
      <c r="A90" s="477">
        <v>21</v>
      </c>
      <c r="B90" s="477">
        <v>81</v>
      </c>
      <c r="C90" s="478" t="s">
        <v>493</v>
      </c>
      <c r="D90" s="479">
        <f t="shared" si="4"/>
        <v>42727</v>
      </c>
      <c r="E90" s="480">
        <v>2016</v>
      </c>
      <c r="F90" s="480">
        <v>358</v>
      </c>
      <c r="G90" s="481">
        <v>0.83194444444444404</v>
      </c>
      <c r="H90" s="482">
        <v>0.25</v>
      </c>
      <c r="I90" s="483">
        <v>8.3333333333333301E-2</v>
      </c>
      <c r="J90" s="484">
        <f t="shared" si="5"/>
        <v>42728</v>
      </c>
      <c r="K90" s="480">
        <v>2016</v>
      </c>
      <c r="L90" s="480">
        <v>359</v>
      </c>
      <c r="M90" s="485">
        <v>0.165277777777778</v>
      </c>
      <c r="N90" s="501">
        <v>3000</v>
      </c>
      <c r="O90" s="486" t="str">
        <f>IF(VALUE(LEFT($R90,3))&lt;192,"",IF(VALUE(LEFT($R90,3))&gt;597,"",VLOOKUP(VALUE(LEFT($R90,3)),'CIRS Table Info'!$B$6:$J$425,2,FALSE)))</f>
        <v/>
      </c>
      <c r="P90" s="498" t="str">
        <f>IF(MID(R90,5,3)="",IF(VALUE(LEFT($R90,3))&lt;192,"",IF(VALUE(LEFT($R90,3))&gt;597,"",CONCATENATE(VLOOKUP(VALUE(LEFT($R90,3)),'CIRS Table Info'!$B$6:$J$425,6,FALSE),"/",VLOOKUP(VALUE(LEFT($R90,3)),'CIRS Table Info'!$B$6:$J$425,8,FALSE),IF(VLOOKUP(VALUE(LEFT($R90,3)),'CIRS Table Info'!$B$6:$J$425,9,FALSE)="Closed","/CLOSED","")))),IF(VALUE(MID($R90,5,3))&lt;192,"",IF(VALUE(MID($R90,5,3))&gt;597,"",CONCATENATE(VLOOKUP(VALUE(MID($R90,5,3)),'CIRS Table Info'!$B$6:$J$425,6,FALSE),"/",VLOOKUP(VALUE(MID($R90,5,3)),'CIRS Table Info'!$B$6:$J$425,8,FALSE),IF(VLOOKUP(VALUE(MID($R90,5,3)),'CIRS Table Info'!$B$6:$J$425,9,FALSE)="Closed","/CLOSED","")))))</f>
        <v/>
      </c>
      <c r="Q90" s="487"/>
      <c r="R90" s="488">
        <f>VLOOKUP($C90,'CIRS Table IDs'!$B:$P,14,FALSE)</f>
        <v>830</v>
      </c>
      <c r="S90" s="489">
        <v>1227.138794</v>
      </c>
      <c r="T90" s="490">
        <v>99.897920999999997</v>
      </c>
      <c r="W90" s="49"/>
      <c r="X90" s="49"/>
    </row>
    <row r="91" spans="1:24" x14ac:dyDescent="0.2">
      <c r="A91" s="477">
        <v>22</v>
      </c>
      <c r="B91" s="477">
        <v>82</v>
      </c>
      <c r="C91" s="478" t="s">
        <v>494</v>
      </c>
      <c r="D91" s="479">
        <f t="shared" si="4"/>
        <v>42728</v>
      </c>
      <c r="E91" s="480">
        <v>2016</v>
      </c>
      <c r="F91" s="480">
        <v>359</v>
      </c>
      <c r="G91" s="481">
        <v>0.83194444444444404</v>
      </c>
      <c r="H91" s="482">
        <v>0.125</v>
      </c>
      <c r="I91" s="483">
        <v>0.20833333333333301</v>
      </c>
      <c r="J91" s="484">
        <f t="shared" si="5"/>
        <v>42729</v>
      </c>
      <c r="K91" s="480">
        <v>2016</v>
      </c>
      <c r="L91" s="480">
        <v>360</v>
      </c>
      <c r="M91" s="485">
        <v>0.165277777777778</v>
      </c>
      <c r="N91" s="501">
        <v>1500</v>
      </c>
      <c r="O91" s="486" t="str">
        <f>IF(VALUE(LEFT($R91,3))&lt;192,"",IF(VALUE(LEFT($R91,3))&gt;597,"",VLOOKUP(VALUE(LEFT($R91,3)),'CIRS Table Info'!$B$6:$J$425,2,FALSE)))</f>
        <v/>
      </c>
      <c r="P91" s="498" t="str">
        <f>IF(MID(R91,5,3)="",IF(VALUE(LEFT($R91,3))&lt;192,"",IF(VALUE(LEFT($R91,3))&gt;597,"",CONCATENATE(VLOOKUP(VALUE(LEFT($R91,3)),'CIRS Table Info'!$B$6:$J$425,6,FALSE),"/",VLOOKUP(VALUE(LEFT($R91,3)),'CIRS Table Info'!$B$6:$J$425,8,FALSE),IF(VLOOKUP(VALUE(LEFT($R91,3)),'CIRS Table Info'!$B$6:$J$425,9,FALSE)="Closed","/CLOSED","")))),IF(VALUE(MID($R91,5,3))&lt;192,"",IF(VALUE(MID($R91,5,3))&gt;597,"",CONCATENATE(VLOOKUP(VALUE(MID($R91,5,3)),'CIRS Table Info'!$B$6:$J$425,6,FALSE),"/",VLOOKUP(VALUE(MID($R91,5,3)),'CIRS Table Info'!$B$6:$J$425,8,FALSE),IF(VLOOKUP(VALUE(MID($R91,5,3)),'CIRS Table Info'!$B$6:$J$425,9,FALSE)="Closed","/CLOSED","")))))</f>
        <v/>
      </c>
      <c r="Q91" s="487"/>
      <c r="R91" s="488">
        <f>VLOOKUP($C91,'CIRS Table IDs'!$B:$P,14,FALSE)</f>
        <v>831</v>
      </c>
      <c r="S91" s="489">
        <v>894.64984100000004</v>
      </c>
      <c r="T91" s="490">
        <v>100</v>
      </c>
    </row>
    <row r="92" spans="1:24" x14ac:dyDescent="0.2">
      <c r="A92" s="477">
        <v>23</v>
      </c>
      <c r="B92" s="477">
        <v>83</v>
      </c>
      <c r="C92" s="478" t="s">
        <v>495</v>
      </c>
      <c r="D92" s="479">
        <f t="shared" si="4"/>
        <v>42729</v>
      </c>
      <c r="E92" s="480">
        <v>2016</v>
      </c>
      <c r="F92" s="480">
        <v>360</v>
      </c>
      <c r="G92" s="481">
        <v>0.38541666666666702</v>
      </c>
      <c r="H92" s="482">
        <v>3.125E-2</v>
      </c>
      <c r="I92" s="483">
        <v>1.0416666666666701E-2</v>
      </c>
      <c r="J92" s="484">
        <f t="shared" si="5"/>
        <v>42729</v>
      </c>
      <c r="K92" s="480">
        <v>2016</v>
      </c>
      <c r="L92" s="480">
        <v>360</v>
      </c>
      <c r="M92" s="485">
        <v>0.42708333333333298</v>
      </c>
      <c r="N92" s="501">
        <v>3000</v>
      </c>
      <c r="O92" s="486" t="str">
        <f>IF(VALUE(LEFT($R92,3))&lt;192,"",IF(VALUE(LEFT($R92,3))&gt;597,"",VLOOKUP(VALUE(LEFT($R92,3)),'CIRS Table Info'!$B$6:$J$425,2,FALSE)))</f>
        <v/>
      </c>
      <c r="P92" s="498" t="str">
        <f>IF(MID(R92,5,3)="",IF(VALUE(LEFT($R92,3))&lt;192,"",IF(VALUE(LEFT($R92,3))&gt;597,"",CONCATENATE(VLOOKUP(VALUE(LEFT($R92,3)),'CIRS Table Info'!$B$6:$J$425,6,FALSE),"/",VLOOKUP(VALUE(LEFT($R92,3)),'CIRS Table Info'!$B$6:$J$425,8,FALSE),IF(VLOOKUP(VALUE(LEFT($R92,3)),'CIRS Table Info'!$B$6:$J$425,9,FALSE)="Closed","/CLOSED","")))),IF(VALUE(MID($R92,5,3))&lt;192,"",IF(VALUE(MID($R92,5,3))&gt;597,"",CONCATENATE(VLOOKUP(VALUE(MID($R92,5,3)),'CIRS Table Info'!$B$6:$J$425,6,FALSE),"/",VLOOKUP(VALUE(MID($R92,5,3)),'CIRS Table Info'!$B$6:$J$425,8,FALSE),IF(VLOOKUP(VALUE(MID($R92,5,3)),'CIRS Table Info'!$B$6:$J$425,9,FALSE)="Closed","/CLOSED","")))))</f>
        <v/>
      </c>
      <c r="Q92" s="487"/>
      <c r="R92" s="488">
        <f>VLOOKUP($C92,'CIRS Table IDs'!$B:$P,14,FALSE)</f>
        <v>832</v>
      </c>
      <c r="S92" s="489">
        <v>1281.726807</v>
      </c>
      <c r="T92" s="490">
        <v>100</v>
      </c>
      <c r="V92" s="49"/>
      <c r="W92" s="49"/>
    </row>
    <row r="93" spans="1:24" x14ac:dyDescent="0.2">
      <c r="A93" s="21"/>
      <c r="B93" s="21">
        <v>84</v>
      </c>
      <c r="C93" s="45" t="s">
        <v>496</v>
      </c>
      <c r="D93" s="35">
        <f t="shared" si="4"/>
        <v>42729</v>
      </c>
      <c r="E93" s="36">
        <v>2016</v>
      </c>
      <c r="F93" s="36">
        <v>360</v>
      </c>
      <c r="G93" s="161">
        <v>0.45486111111111099</v>
      </c>
      <c r="H93" s="392">
        <v>6.25E-2</v>
      </c>
      <c r="I93" s="393">
        <v>0</v>
      </c>
      <c r="J93" s="164">
        <f t="shared" si="5"/>
        <v>42729</v>
      </c>
      <c r="K93" s="36">
        <v>2016</v>
      </c>
      <c r="L93" s="36">
        <v>360</v>
      </c>
      <c r="M93" s="37">
        <v>0.51736111111111105</v>
      </c>
      <c r="N93" s="499" t="s">
        <v>307</v>
      </c>
      <c r="O93" s="367">
        <f>IF(VALUE(LEFT($R93,3))&lt;192,"",IF(VALUE(LEFT($R93,3))&gt;597,"",VLOOKUP(VALUE(LEFT($R93,3)),'CIRS Table Info'!$B$6:$J$425,2,FALSE)))</f>
        <v>0.53</v>
      </c>
      <c r="P93" s="497" t="str">
        <f>IF(MID(R93,5,3)="",IF(VALUE(LEFT($R93,3))&lt;192,"",IF(VALUE(LEFT($R93,3))&gt;597,"",CONCATENATE(VLOOKUP(VALUE(LEFT($R93,3)),'CIRS Table Info'!$B$6:$J$425,6,FALSE),"/",VLOOKUP(VALUE(LEFT($R93,3)),'CIRS Table Info'!$B$6:$J$425,8,FALSE),IF(VLOOKUP(VALUE(LEFT($R93,3)),'CIRS Table Info'!$B$6:$J$425,9,FALSE)="Closed","/CLOSED","")))),IF(VALUE(MID($R93,5,3))&lt;192,"",IF(VALUE(MID($R93,5,3))&gt;597,"",CONCATENATE(VLOOKUP(VALUE(MID($R93,5,3)),'CIRS Table Info'!$B$6:$J$425,6,FALSE),"/",VLOOKUP(VALUE(MID($R93,5,3)),'CIRS Table Info'!$B$6:$J$425,8,FALSE),IF(VLOOKUP(VALUE(MID($R93,5,3)),'CIRS Table Info'!$B$6:$J$425,9,FALSE)="Closed","/CLOSED","")))))</f>
        <v>Blink/Blink</v>
      </c>
      <c r="Q93" s="171"/>
      <c r="R93" s="172">
        <f>VLOOKUP($C93,'CIRS Table IDs'!$B:$P,14,FALSE)</f>
        <v>341</v>
      </c>
      <c r="S93" s="410">
        <v>1684.190186</v>
      </c>
      <c r="T93" s="411">
        <v>98.021066000000005</v>
      </c>
      <c r="W93" s="49"/>
      <c r="X93" s="49"/>
    </row>
    <row r="94" spans="1:24" x14ac:dyDescent="0.2">
      <c r="A94" s="21"/>
      <c r="B94" s="21">
        <v>85</v>
      </c>
      <c r="C94" s="45" t="s">
        <v>497</v>
      </c>
      <c r="D94" s="35">
        <f t="shared" si="4"/>
        <v>42730</v>
      </c>
      <c r="E94" s="36">
        <v>2016</v>
      </c>
      <c r="F94" s="36">
        <v>361</v>
      </c>
      <c r="G94" s="161">
        <v>0.125</v>
      </c>
      <c r="H94" s="392">
        <v>0.22916666666666699</v>
      </c>
      <c r="I94" s="393">
        <v>0</v>
      </c>
      <c r="J94" s="164">
        <f t="shared" si="5"/>
        <v>42730</v>
      </c>
      <c r="K94" s="36">
        <v>2016</v>
      </c>
      <c r="L94" s="36">
        <v>361</v>
      </c>
      <c r="M94" s="37">
        <v>0.35416666666666702</v>
      </c>
      <c r="N94" s="499" t="s">
        <v>307</v>
      </c>
      <c r="O94" s="367">
        <v>15.67</v>
      </c>
      <c r="P94" s="497" t="s">
        <v>680</v>
      </c>
      <c r="Q94" s="171"/>
      <c r="R94" s="172">
        <f>VLOOKUP($C94,'CIRS Table IDs'!$B:$P,14,FALSE)</f>
        <v>834</v>
      </c>
      <c r="S94" s="410">
        <v>1165.3350829999999</v>
      </c>
      <c r="T94" s="411">
        <v>92.216854999999995</v>
      </c>
      <c r="W94" s="49"/>
      <c r="X94" s="49"/>
    </row>
    <row r="95" spans="1:24" x14ac:dyDescent="0.2">
      <c r="A95" s="21"/>
      <c r="B95" s="21">
        <v>86</v>
      </c>
      <c r="C95" s="45" t="s">
        <v>499</v>
      </c>
      <c r="D95" s="35">
        <f t="shared" si="4"/>
        <v>42730</v>
      </c>
      <c r="E95" s="36">
        <v>2016</v>
      </c>
      <c r="F95" s="36">
        <v>361</v>
      </c>
      <c r="G95" s="161">
        <v>0.35416666666666702</v>
      </c>
      <c r="H95" s="392">
        <v>0.16180555555555601</v>
      </c>
      <c r="I95" s="393">
        <v>0</v>
      </c>
      <c r="J95" s="164">
        <f t="shared" si="5"/>
        <v>42730</v>
      </c>
      <c r="K95" s="36">
        <v>2016</v>
      </c>
      <c r="L95" s="36">
        <v>361</v>
      </c>
      <c r="M95" s="37">
        <v>0.51597222222222205</v>
      </c>
      <c r="N95" s="499" t="s">
        <v>307</v>
      </c>
      <c r="O95" s="367">
        <f>IF(VALUE(LEFT($R95,3))&lt;192,"",IF(VALUE(LEFT($R95,3))&gt;597,"",VLOOKUP(VALUE(LEFT($R95,3)),'CIRS Table Info'!$B$6:$J$425,2,FALSE)))</f>
        <v>15.67</v>
      </c>
      <c r="P95" s="497" t="str">
        <f>IF(MID(R95,5,3)="",IF(VALUE(LEFT($R95,3))&lt;192,"",IF(VALUE(LEFT($R95,3))&gt;597,"",CONCATENATE(VLOOKUP(VALUE(LEFT($R95,3)),'CIRS Table Info'!$B$6:$J$425,6,FALSE),"/",VLOOKUP(VALUE(LEFT($R95,3)),'CIRS Table Info'!$B$6:$J$425,8,FALSE),IF(VLOOKUP(VALUE(LEFT($R95,3)),'CIRS Table Info'!$B$6:$J$425,9,FALSE)="Closed","/CLOSED","")))),IF(VALUE(MID($R95,5,3))&lt;192,"",IF(VALUE(MID($R95,5,3))&gt;597,"",CONCATENATE(VLOOKUP(VALUE(MID($R95,5,3)),'CIRS Table Info'!$B$6:$J$425,6,FALSE),"/",VLOOKUP(VALUE(MID($R95,5,3)),'CIRS Table Info'!$B$6:$J$425,8,FALSE),IF(VLOOKUP(VALUE(MID($R95,5,3)),'CIRS Table Info'!$B$6:$J$425,9,FALSE)="Closed","/CLOSED","")))))</f>
        <v>Centers/Centers</v>
      </c>
      <c r="Q95" s="171"/>
      <c r="R95" s="172" t="str">
        <f>VLOOKUP($C95,'CIRS Table IDs'!$B:$P,14,FALSE)</f>
        <v>209,206,209</v>
      </c>
      <c r="S95" s="410">
        <v>1364.470947</v>
      </c>
      <c r="T95" s="411">
        <v>99.955832999999998</v>
      </c>
    </row>
    <row r="96" spans="1:24" x14ac:dyDescent="0.2">
      <c r="A96" s="21"/>
      <c r="B96" s="21">
        <v>87</v>
      </c>
      <c r="C96" s="45" t="s">
        <v>502</v>
      </c>
      <c r="D96" s="35">
        <f t="shared" si="4"/>
        <v>42730</v>
      </c>
      <c r="E96" s="36">
        <v>2016</v>
      </c>
      <c r="F96" s="36">
        <v>361</v>
      </c>
      <c r="G96" s="161">
        <v>0.51597222222222205</v>
      </c>
      <c r="H96" s="392">
        <v>0.16666666666666699</v>
      </c>
      <c r="I96" s="393">
        <v>0</v>
      </c>
      <c r="J96" s="164">
        <f t="shared" si="5"/>
        <v>42730</v>
      </c>
      <c r="K96" s="36">
        <v>2016</v>
      </c>
      <c r="L96" s="36">
        <v>361</v>
      </c>
      <c r="M96" s="37">
        <v>0.68263888888888902</v>
      </c>
      <c r="N96" s="499" t="s">
        <v>307</v>
      </c>
      <c r="O96" s="367">
        <f>IF(VALUE(LEFT($R96,3))&lt;192,"",IF(VALUE(LEFT($R96,3))&gt;597,"",VLOOKUP(VALUE(LEFT($R96,3)),'CIRS Table Info'!$B$6:$J$425,2,FALSE)))</f>
        <v>2.85</v>
      </c>
      <c r="P96" s="497" t="str">
        <f>IF(MID(R96,5,3)="",IF(VALUE(LEFT($R96,3))&lt;192,"",IF(VALUE(LEFT($R96,3))&gt;597,"",CONCATENATE(VLOOKUP(VALUE(LEFT($R96,3)),'CIRS Table Info'!$B$6:$J$425,6,FALSE),"/",VLOOKUP(VALUE(LEFT($R96,3)),'CIRS Table Info'!$B$6:$J$425,8,FALSE),IF(VLOOKUP(VALUE(LEFT($R96,3)),'CIRS Table Info'!$B$6:$J$425,9,FALSE)="Closed","/CLOSED","")))),IF(VALUE(MID($R96,5,3))&lt;192,"",IF(VALUE(MID($R96,5,3))&gt;597,"",CONCATENATE(VLOOKUP(VALUE(MID($R96,5,3)),'CIRS Table Info'!$B$6:$J$425,6,FALSE),"/",VLOOKUP(VALUE(MID($R96,5,3)),'CIRS Table Info'!$B$6:$J$425,8,FALSE),IF(VLOOKUP(VALUE(MID($R96,5,3)),'CIRS Table Info'!$B$6:$J$425,9,FALSE)="Closed","/CLOSED","")))))</f>
        <v>Centers/Centers</v>
      </c>
      <c r="Q96" s="171"/>
      <c r="R96" s="172" t="str">
        <f>VLOOKUP($C96,'CIRS Table IDs'!$B:$P,14,FALSE)</f>
        <v>234,231,234</v>
      </c>
      <c r="S96" s="410">
        <v>1746.005981</v>
      </c>
      <c r="T96" s="411">
        <v>99.199003000000005</v>
      </c>
    </row>
    <row r="97" spans="1:24" x14ac:dyDescent="0.2">
      <c r="A97" s="477">
        <v>24</v>
      </c>
      <c r="B97" s="477">
        <v>88</v>
      </c>
      <c r="C97" s="478" t="s">
        <v>504</v>
      </c>
      <c r="D97" s="479">
        <f t="shared" si="4"/>
        <v>42731</v>
      </c>
      <c r="E97" s="480">
        <v>2016</v>
      </c>
      <c r="F97" s="480">
        <v>362</v>
      </c>
      <c r="G97" s="481">
        <v>0.30138888888888898</v>
      </c>
      <c r="H97" s="482">
        <v>0.1796875</v>
      </c>
      <c r="I97" s="483">
        <v>5.9895833333333301E-2</v>
      </c>
      <c r="J97" s="484">
        <f t="shared" si="5"/>
        <v>42731</v>
      </c>
      <c r="K97" s="480">
        <v>2016</v>
      </c>
      <c r="L97" s="480">
        <v>362</v>
      </c>
      <c r="M97" s="485">
        <v>0.54097222222222197</v>
      </c>
      <c r="N97" s="501">
        <v>3000</v>
      </c>
      <c r="O97" s="486" t="str">
        <f>IF(VALUE(LEFT($R97,3))&lt;192,"",IF(VALUE(LEFT($R97,3))&gt;597,"",VLOOKUP(VALUE(LEFT($R97,3)),'CIRS Table Info'!$B$6:$J$425,2,FALSE)))</f>
        <v/>
      </c>
      <c r="P97" s="498" t="str">
        <f>IF(MID(R97,5,3)="",IF(VALUE(LEFT($R97,3))&lt;192,"",IF(VALUE(LEFT($R97,3))&gt;597,"",CONCATENATE(VLOOKUP(VALUE(LEFT($R97,3)),'CIRS Table Info'!$B$6:$J$425,6,FALSE),"/",VLOOKUP(VALUE(LEFT($R97,3)),'CIRS Table Info'!$B$6:$J$425,8,FALSE),IF(VLOOKUP(VALUE(LEFT($R97,3)),'CIRS Table Info'!$B$6:$J$425,9,FALSE)="Closed","/CLOSED","")))),IF(VALUE(MID($R97,5,3))&lt;192,"",IF(VALUE(MID($R97,5,3))&gt;597,"",CONCATENATE(VLOOKUP(VALUE(MID($R97,5,3)),'CIRS Table Info'!$B$6:$J$425,6,FALSE),"/",VLOOKUP(VALUE(MID($R97,5,3)),'CIRS Table Info'!$B$6:$J$425,8,FALSE),IF(VLOOKUP(VALUE(MID($R97,5,3)),'CIRS Table Info'!$B$6:$J$425,9,FALSE)="Closed","/CLOSED","")))))</f>
        <v/>
      </c>
      <c r="Q97" s="487"/>
      <c r="R97" s="488">
        <f>VLOOKUP($C97,'CIRS Table IDs'!$B:$P,14,FALSE)</f>
        <v>837</v>
      </c>
      <c r="S97" s="489">
        <v>654.05310099999997</v>
      </c>
      <c r="T97" s="490">
        <v>100</v>
      </c>
      <c r="V97" s="49"/>
      <c r="W97" s="49"/>
    </row>
    <row r="98" spans="1:24" x14ac:dyDescent="0.2">
      <c r="A98" s="477">
        <v>25</v>
      </c>
      <c r="B98" s="477">
        <v>89</v>
      </c>
      <c r="C98" s="478" t="s">
        <v>505</v>
      </c>
      <c r="D98" s="479">
        <f t="shared" si="4"/>
        <v>42732</v>
      </c>
      <c r="E98" s="480">
        <v>2016</v>
      </c>
      <c r="F98" s="480">
        <v>363</v>
      </c>
      <c r="G98" s="481">
        <v>0.82708333333333295</v>
      </c>
      <c r="H98" s="482">
        <v>0.25</v>
      </c>
      <c r="I98" s="483">
        <v>8.3333333333333301E-2</v>
      </c>
      <c r="J98" s="484">
        <f t="shared" si="5"/>
        <v>42733</v>
      </c>
      <c r="K98" s="480">
        <v>2016</v>
      </c>
      <c r="L98" s="480">
        <v>364</v>
      </c>
      <c r="M98" s="485">
        <v>0.16041666666666701</v>
      </c>
      <c r="N98" s="501">
        <v>3000</v>
      </c>
      <c r="O98" s="486" t="str">
        <f>IF(VALUE(LEFT($R98,3))&lt;192,"",IF(VALUE(LEFT($R98,3))&gt;597,"",VLOOKUP(VALUE(LEFT($R98,3)),'CIRS Table Info'!$B$6:$J$425,2,FALSE)))</f>
        <v/>
      </c>
      <c r="P98" s="498" t="str">
        <f>IF(MID(R98,5,3)="",IF(VALUE(LEFT($R98,3))&lt;192,"",IF(VALUE(LEFT($R98,3))&gt;597,"",CONCATENATE(VLOOKUP(VALUE(LEFT($R98,3)),'CIRS Table Info'!$B$6:$J$425,6,FALSE),"/",VLOOKUP(VALUE(LEFT($R98,3)),'CIRS Table Info'!$B$6:$J$425,8,FALSE),IF(VLOOKUP(VALUE(LEFT($R98,3)),'CIRS Table Info'!$B$6:$J$425,9,FALSE)="Closed","/CLOSED","")))),IF(VALUE(MID($R98,5,3))&lt;192,"",IF(VALUE(MID($R98,5,3))&gt;597,"",CONCATENATE(VLOOKUP(VALUE(MID($R98,5,3)),'CIRS Table Info'!$B$6:$J$425,6,FALSE),"/",VLOOKUP(VALUE(MID($R98,5,3)),'CIRS Table Info'!$B$6:$J$425,8,FALSE),IF(VLOOKUP(VALUE(MID($R98,5,3)),'CIRS Table Info'!$B$6:$J$425,9,FALSE)="Closed","/CLOSED","")))))</f>
        <v/>
      </c>
      <c r="Q98" s="487"/>
      <c r="R98" s="488">
        <f>VLOOKUP($C98,'CIRS Table IDs'!$B:$P,14,FALSE)</f>
        <v>838</v>
      </c>
      <c r="S98" s="489">
        <v>676.72473100000002</v>
      </c>
      <c r="T98" s="490">
        <v>100</v>
      </c>
    </row>
    <row r="99" spans="1:24" x14ac:dyDescent="0.2">
      <c r="A99" s="477">
        <v>26</v>
      </c>
      <c r="B99" s="477">
        <v>90</v>
      </c>
      <c r="C99" s="478" t="s">
        <v>506</v>
      </c>
      <c r="D99" s="479">
        <f t="shared" si="4"/>
        <v>42734</v>
      </c>
      <c r="E99" s="480">
        <v>2016</v>
      </c>
      <c r="F99" s="480">
        <v>365</v>
      </c>
      <c r="G99" s="481">
        <v>0.280555555555556</v>
      </c>
      <c r="H99" s="482">
        <v>0.203125</v>
      </c>
      <c r="I99" s="483">
        <v>6.7708333333333301E-2</v>
      </c>
      <c r="J99" s="484">
        <f t="shared" si="5"/>
        <v>42734</v>
      </c>
      <c r="K99" s="480">
        <v>2016</v>
      </c>
      <c r="L99" s="480">
        <v>365</v>
      </c>
      <c r="M99" s="485">
        <v>0.55138888888888904</v>
      </c>
      <c r="N99" s="501">
        <v>3000</v>
      </c>
      <c r="O99" s="486" t="str">
        <f>IF(VALUE(LEFT($R99,3))&lt;192,"",IF(VALUE(LEFT($R99,3))&gt;597,"",VLOOKUP(VALUE(LEFT($R99,3)),'CIRS Table Info'!$B$6:$J$425,2,FALSE)))</f>
        <v/>
      </c>
      <c r="P99" s="498" t="str">
        <f>IF(MID(R99,5,3)="",IF(VALUE(LEFT($R99,3))&lt;192,"",IF(VALUE(LEFT($R99,3))&gt;597,"",CONCATENATE(VLOOKUP(VALUE(LEFT($R99,3)),'CIRS Table Info'!$B$6:$J$425,6,FALSE),"/",VLOOKUP(VALUE(LEFT($R99,3)),'CIRS Table Info'!$B$6:$J$425,8,FALSE),IF(VLOOKUP(VALUE(LEFT($R99,3)),'CIRS Table Info'!$B$6:$J$425,9,FALSE)="Closed","/CLOSED","")))),IF(VALUE(MID($R99,5,3))&lt;192,"",IF(VALUE(MID($R99,5,3))&gt;597,"",CONCATENATE(VLOOKUP(VALUE(MID($R99,5,3)),'CIRS Table Info'!$B$6:$J$425,6,FALSE),"/",VLOOKUP(VALUE(MID($R99,5,3)),'CIRS Table Info'!$B$6:$J$425,8,FALSE),IF(VLOOKUP(VALUE(MID($R99,5,3)),'CIRS Table Info'!$B$6:$J$425,9,FALSE)="Closed","/CLOSED","")))))</f>
        <v/>
      </c>
      <c r="Q99" s="487"/>
      <c r="R99" s="488">
        <f>VLOOKUP($C99,'CIRS Table IDs'!$B:$P,14,FALSE)</f>
        <v>839</v>
      </c>
      <c r="S99" s="489">
        <v>1324.045288</v>
      </c>
      <c r="T99" s="490">
        <v>94.999999000000003</v>
      </c>
      <c r="V99" s="49"/>
      <c r="W99" s="49"/>
    </row>
    <row r="100" spans="1:24" ht="15.75" x14ac:dyDescent="0.25">
      <c r="A100" s="526"/>
      <c r="B100" s="526">
        <v>91</v>
      </c>
      <c r="C100" s="527" t="s">
        <v>507</v>
      </c>
      <c r="D100" s="528">
        <f t="shared" si="4"/>
        <v>42734</v>
      </c>
      <c r="E100" s="529">
        <v>2016</v>
      </c>
      <c r="F100" s="529">
        <v>365</v>
      </c>
      <c r="G100" s="530">
        <v>0.89652777777777803</v>
      </c>
      <c r="H100" s="531">
        <v>0.20833333333333301</v>
      </c>
      <c r="I100" s="532">
        <v>0</v>
      </c>
      <c r="J100" s="533">
        <f t="shared" si="5"/>
        <v>42735</v>
      </c>
      <c r="K100" s="529">
        <v>2016</v>
      </c>
      <c r="L100" s="529">
        <v>366</v>
      </c>
      <c r="M100" s="534">
        <v>0.104861111111111</v>
      </c>
      <c r="N100" s="535" t="s">
        <v>307</v>
      </c>
      <c r="O100" s="536">
        <f>IF(VALUE(LEFT($R100,3))&lt;192,"",IF(VALUE(LEFT($R100,3))&gt;597,"",VLOOKUP(VALUE(LEFT($R100,3)),'CIRS Table Info'!$B$6:$J$425,2,FALSE)))</f>
        <v>0.53</v>
      </c>
      <c r="P100" s="537" t="str">
        <f>IF(MID(R100,5,3)="",IF(VALUE(LEFT($R100,3))&lt;192,"",IF(VALUE(LEFT($R100,3))&gt;597,"",CONCATENATE(VLOOKUP(VALUE(LEFT($R100,3)),'CIRS Table Info'!$B$6:$J$425,6,FALSE),"/",VLOOKUP(VALUE(LEFT($R100,3)),'CIRS Table Info'!$B$6:$J$425,8,FALSE),IF(VLOOKUP(VALUE(LEFT($R100,3)),'CIRS Table Info'!$B$6:$J$425,9,FALSE)="Closed","/CLOSED","")))),IF(VALUE(MID($R100,5,3))&lt;192,"",IF(VALUE(MID($R100,5,3))&gt;597,"",CONCATENATE(VLOOKUP(VALUE(MID($R100,5,3)),'CIRS Table Info'!$B$6:$J$425,6,FALSE),"/",VLOOKUP(VALUE(MID($R100,5,3)),'CIRS Table Info'!$B$6:$J$425,8,FALSE),IF(VLOOKUP(VALUE(MID($R100,5,3)),'CIRS Table Info'!$B$6:$J$425,9,FALSE)="Closed","/CLOSED","")))))</f>
        <v>Blink/Blink</v>
      </c>
      <c r="Q100" s="538"/>
      <c r="R100" s="539">
        <f>VLOOKUP($C100,'CIRS Table IDs'!$B:$P,14,FALSE)</f>
        <v>541</v>
      </c>
      <c r="S100" s="540">
        <v>1598.6899410000001</v>
      </c>
      <c r="T100" s="411">
        <v>2.8364419999999999</v>
      </c>
    </row>
    <row r="101" spans="1:24" ht="15.75" x14ac:dyDescent="0.25">
      <c r="A101" s="526"/>
      <c r="B101" s="526">
        <v>92</v>
      </c>
      <c r="C101" s="527" t="s">
        <v>508</v>
      </c>
      <c r="D101" s="528">
        <f t="shared" si="4"/>
        <v>42735</v>
      </c>
      <c r="E101" s="529">
        <v>2016</v>
      </c>
      <c r="F101" s="529">
        <v>366</v>
      </c>
      <c r="G101" s="530">
        <v>0.104861111111111</v>
      </c>
      <c r="H101" s="531">
        <v>0.20833333333333301</v>
      </c>
      <c r="I101" s="532">
        <v>0</v>
      </c>
      <c r="J101" s="533">
        <f t="shared" si="5"/>
        <v>42735</v>
      </c>
      <c r="K101" s="529">
        <v>2016</v>
      </c>
      <c r="L101" s="529">
        <v>366</v>
      </c>
      <c r="M101" s="534">
        <v>0.313194444444444</v>
      </c>
      <c r="N101" s="535" t="s">
        <v>307</v>
      </c>
      <c r="O101" s="536">
        <f>IF(VALUE(LEFT($R101,3))&lt;192,"",IF(VALUE(LEFT($R101,3))&gt;597,"",VLOOKUP(VALUE(LEFT($R101,3)),'CIRS Table Info'!$B$6:$J$425,2,FALSE)))</f>
        <v>0.53</v>
      </c>
      <c r="P101" s="537" t="str">
        <f>IF(MID(R101,5,3)="",IF(VALUE(LEFT($R101,3))&lt;192,"",IF(VALUE(LEFT($R101,3))&gt;597,"",CONCATENATE(VLOOKUP(VALUE(LEFT($R101,3)),'CIRS Table Info'!$B$6:$J$425,6,FALSE),"/",VLOOKUP(VALUE(LEFT($R101,3)),'CIRS Table Info'!$B$6:$J$425,8,FALSE),IF(VLOOKUP(VALUE(LEFT($R101,3)),'CIRS Table Info'!$B$6:$J$425,9,FALSE)="Closed","/CLOSED","")))),IF(VALUE(MID($R101,5,3))&lt;192,"",IF(VALUE(MID($R101,5,3))&gt;597,"",CONCATENATE(VLOOKUP(VALUE(MID($R101,5,3)),'CIRS Table Info'!$B$6:$J$425,6,FALSE),"/",VLOOKUP(VALUE(MID($R101,5,3)),'CIRS Table Info'!$B$6:$J$425,8,FALSE),IF(VLOOKUP(VALUE(MID($R101,5,3)),'CIRS Table Info'!$B$6:$J$425,9,FALSE)="Closed","/CLOSED","")))))</f>
        <v>Blink/Blink</v>
      </c>
      <c r="Q101" s="538"/>
      <c r="R101" s="539">
        <f>VLOOKUP($C101,'CIRS Table IDs'!$B:$P,14,FALSE)</f>
        <v>541</v>
      </c>
      <c r="S101" s="540">
        <v>1591.802246</v>
      </c>
      <c r="T101" s="411">
        <v>44.162892999999997</v>
      </c>
    </row>
    <row r="102" spans="1:24" x14ac:dyDescent="0.2">
      <c r="A102" s="21"/>
      <c r="B102" s="21">
        <v>93</v>
      </c>
      <c r="C102" s="45" t="s">
        <v>509</v>
      </c>
      <c r="D102" s="35">
        <f t="shared" si="4"/>
        <v>42735</v>
      </c>
      <c r="E102" s="36">
        <v>2016</v>
      </c>
      <c r="F102" s="36">
        <v>366</v>
      </c>
      <c r="G102" s="161">
        <v>0.313194444444444</v>
      </c>
      <c r="H102" s="392">
        <v>0.20833333333333301</v>
      </c>
      <c r="I102" s="393">
        <v>0</v>
      </c>
      <c r="J102" s="164">
        <f t="shared" si="5"/>
        <v>42735</v>
      </c>
      <c r="K102" s="36">
        <v>2016</v>
      </c>
      <c r="L102" s="36">
        <v>366</v>
      </c>
      <c r="M102" s="37">
        <v>0.52152777777777803</v>
      </c>
      <c r="N102" s="499" t="s">
        <v>307</v>
      </c>
      <c r="O102" s="367">
        <f>IF(VALUE(LEFT($R102,3))&lt;192,"",IF(VALUE(LEFT($R102,3))&gt;597,"",VLOOKUP(VALUE(LEFT($R102,3)),'CIRS Table Info'!$B$6:$J$425,2,FALSE)))</f>
        <v>0.53</v>
      </c>
      <c r="P102" s="497" t="str">
        <f>IF(MID(R102,5,3)="",IF(VALUE(LEFT($R102,3))&lt;192,"",IF(VALUE(LEFT($R102,3))&gt;597,"",CONCATENATE(VLOOKUP(VALUE(LEFT($R102,3)),'CIRS Table Info'!$B$6:$J$425,6,FALSE),"/",VLOOKUP(VALUE(LEFT($R102,3)),'CIRS Table Info'!$B$6:$J$425,8,FALSE),IF(VLOOKUP(VALUE(LEFT($R102,3)),'CIRS Table Info'!$B$6:$J$425,9,FALSE)="Closed","/CLOSED","")))),IF(VALUE(MID($R102,5,3))&lt;192,"",IF(VALUE(MID($R102,5,3))&gt;597,"",CONCATENATE(VLOOKUP(VALUE(MID($R102,5,3)),'CIRS Table Info'!$B$6:$J$425,6,FALSE),"/",VLOOKUP(VALUE(MID($R102,5,3)),'CIRS Table Info'!$B$6:$J$425,8,FALSE),IF(VLOOKUP(VALUE(MID($R102,5,3)),'CIRS Table Info'!$B$6:$J$425,9,FALSE)="Closed","/CLOSED","")))))</f>
        <v>Blink/Blink</v>
      </c>
      <c r="Q102" s="171"/>
      <c r="R102" s="172">
        <f>VLOOKUP($C102,'CIRS Table IDs'!$B:$P,14,FALSE)</f>
        <v>541</v>
      </c>
      <c r="S102" s="410">
        <v>1561.5043949999999</v>
      </c>
      <c r="T102" s="411">
        <v>78.289514999999994</v>
      </c>
    </row>
    <row r="103" spans="1:24" x14ac:dyDescent="0.2">
      <c r="A103" s="21"/>
      <c r="B103" s="21">
        <v>94</v>
      </c>
      <c r="C103" s="45" t="s">
        <v>510</v>
      </c>
      <c r="D103" s="35">
        <f t="shared" si="4"/>
        <v>42735</v>
      </c>
      <c r="E103" s="36">
        <v>2016</v>
      </c>
      <c r="F103" s="36">
        <v>366</v>
      </c>
      <c r="G103" s="161">
        <v>0.52152777777777803</v>
      </c>
      <c r="H103" s="392">
        <v>0.20833333333333301</v>
      </c>
      <c r="I103" s="393">
        <v>0</v>
      </c>
      <c r="J103" s="164">
        <f t="shared" si="5"/>
        <v>42735</v>
      </c>
      <c r="K103" s="36">
        <v>2016</v>
      </c>
      <c r="L103" s="36">
        <v>366</v>
      </c>
      <c r="M103" s="37">
        <v>0.72986111111111096</v>
      </c>
      <c r="N103" s="499" t="s">
        <v>307</v>
      </c>
      <c r="O103" s="367">
        <f>IF(VALUE(LEFT($R103,3))&lt;192,"",IF(VALUE(LEFT($R103,3))&gt;597,"",VLOOKUP(VALUE(LEFT($R103,3)),'CIRS Table Info'!$B$6:$J$425,2,FALSE)))</f>
        <v>0.53</v>
      </c>
      <c r="P103" s="497" t="str">
        <f>IF(MID(R103,5,3)="",IF(VALUE(LEFT($R103,3))&lt;192,"",IF(VALUE(LEFT($R103,3))&gt;597,"",CONCATENATE(VLOOKUP(VALUE(LEFT($R103,3)),'CIRS Table Info'!$B$6:$J$425,6,FALSE),"/",VLOOKUP(VALUE(LEFT($R103,3)),'CIRS Table Info'!$B$6:$J$425,8,FALSE),IF(VLOOKUP(VALUE(LEFT($R103,3)),'CIRS Table Info'!$B$6:$J$425,9,FALSE)="Closed","/CLOSED","")))),IF(VALUE(MID($R103,5,3))&lt;192,"",IF(VALUE(MID($R103,5,3))&gt;597,"",CONCATENATE(VLOOKUP(VALUE(MID($R103,5,3)),'CIRS Table Info'!$B$6:$J$425,6,FALSE),"/",VLOOKUP(VALUE(MID($R103,5,3)),'CIRS Table Info'!$B$6:$J$425,8,FALSE),IF(VLOOKUP(VALUE(MID($R103,5,3)),'CIRS Table Info'!$B$6:$J$425,9,FALSE)="Closed","/CLOSED","")))))</f>
        <v>Blink/Blink</v>
      </c>
      <c r="Q103" s="171"/>
      <c r="R103" s="172">
        <f>VLOOKUP($C103,'CIRS Table IDs'!$B:$P,14,FALSE)</f>
        <v>541</v>
      </c>
      <c r="S103" s="410">
        <v>1456.750366</v>
      </c>
      <c r="T103" s="411">
        <v>87.457060999999996</v>
      </c>
      <c r="V103" s="49"/>
      <c r="W103" s="49"/>
    </row>
    <row r="104" spans="1:24" x14ac:dyDescent="0.2">
      <c r="A104" s="21"/>
      <c r="B104" s="21">
        <v>95</v>
      </c>
      <c r="C104" s="45" t="s">
        <v>511</v>
      </c>
      <c r="D104" s="35">
        <f t="shared" ref="D104:D136" si="6">DATE(E104,1,F104)</f>
        <v>42735</v>
      </c>
      <c r="E104" s="36">
        <v>2016</v>
      </c>
      <c r="F104" s="36">
        <v>366</v>
      </c>
      <c r="G104" s="161">
        <v>0.72986111111111096</v>
      </c>
      <c r="H104" s="392">
        <v>0.20833333333333301</v>
      </c>
      <c r="I104" s="393">
        <v>0</v>
      </c>
      <c r="J104" s="164">
        <f t="shared" si="5"/>
        <v>42735</v>
      </c>
      <c r="K104" s="36">
        <v>2016</v>
      </c>
      <c r="L104" s="36">
        <v>366</v>
      </c>
      <c r="M104" s="37">
        <v>0.938194444444444</v>
      </c>
      <c r="N104" s="499" t="s">
        <v>307</v>
      </c>
      <c r="O104" s="367">
        <f>IF(VALUE(LEFT($R104,3))&lt;192,"",IF(VALUE(LEFT($R104,3))&gt;597,"",VLOOKUP(VALUE(LEFT($R104,3)),'CIRS Table Info'!$B$6:$J$425,2,FALSE)))</f>
        <v>0.53</v>
      </c>
      <c r="P104" s="497" t="str">
        <f>IF(MID(R104,5,3)="",IF(VALUE(LEFT($R104,3))&lt;192,"",IF(VALUE(LEFT($R104,3))&gt;597,"",CONCATENATE(VLOOKUP(VALUE(LEFT($R104,3)),'CIRS Table Info'!$B$6:$J$425,6,FALSE),"/",VLOOKUP(VALUE(LEFT($R104,3)),'CIRS Table Info'!$B$6:$J$425,8,FALSE),IF(VLOOKUP(VALUE(LEFT($R104,3)),'CIRS Table Info'!$B$6:$J$425,9,FALSE)="Closed","/CLOSED","")))),IF(VALUE(MID($R104,5,3))&lt;192,"",IF(VALUE(MID($R104,5,3))&gt;597,"",CONCATENATE(VLOOKUP(VALUE(MID($R104,5,3)),'CIRS Table Info'!$B$6:$J$425,6,FALSE),"/",VLOOKUP(VALUE(MID($R104,5,3)),'CIRS Table Info'!$B$6:$J$425,8,FALSE),IF(VLOOKUP(VALUE(MID($R104,5,3)),'CIRS Table Info'!$B$6:$J$425,9,FALSE)="Closed","/CLOSED","")))))</f>
        <v>Blink/Blink</v>
      </c>
      <c r="Q104" s="171"/>
      <c r="R104" s="172">
        <f>VLOOKUP($C104,'CIRS Table IDs'!$B:$P,14,FALSE)</f>
        <v>541</v>
      </c>
      <c r="S104" s="410">
        <v>1666.805664</v>
      </c>
      <c r="T104" s="411">
        <v>65.186751000000001</v>
      </c>
      <c r="V104" s="49"/>
      <c r="W104" s="49"/>
      <c r="X104" s="49"/>
    </row>
    <row r="105" spans="1:24" x14ac:dyDescent="0.2">
      <c r="A105" s="21"/>
      <c r="B105" s="21">
        <v>96</v>
      </c>
      <c r="C105" s="45" t="s">
        <v>512</v>
      </c>
      <c r="D105" s="35">
        <f t="shared" si="6"/>
        <v>42735</v>
      </c>
      <c r="E105" s="36">
        <v>2016</v>
      </c>
      <c r="F105" s="36">
        <v>366</v>
      </c>
      <c r="G105" s="161">
        <v>0.938194444444444</v>
      </c>
      <c r="H105" s="392">
        <v>3.54166666666667E-2</v>
      </c>
      <c r="I105" s="393">
        <v>0</v>
      </c>
      <c r="J105" s="164">
        <f t="shared" ref="J105:J137" si="7">DATE(K105,1,L105)</f>
        <v>42735</v>
      </c>
      <c r="K105" s="36">
        <v>2016</v>
      </c>
      <c r="L105" s="36">
        <v>366</v>
      </c>
      <c r="M105" s="37">
        <v>0.97361111111111098</v>
      </c>
      <c r="N105" s="499" t="s">
        <v>307</v>
      </c>
      <c r="O105" s="367">
        <f>IF(VALUE(LEFT($R105,3))&lt;192,"",IF(VALUE(LEFT($R105,3))&gt;597,"",VLOOKUP(VALUE(LEFT($R105,3)),'CIRS Table Info'!$B$6:$J$425,2,FALSE)))</f>
        <v>0.53</v>
      </c>
      <c r="P105" s="497" t="str">
        <f>IF(MID(R105,5,3)="",IF(VALUE(LEFT($R105,3))&lt;192,"",IF(VALUE(LEFT($R105,3))&gt;597,"",CONCATENATE(VLOOKUP(VALUE(LEFT($R105,3)),'CIRS Table Info'!$B$6:$J$425,6,FALSE),"/",VLOOKUP(VALUE(LEFT($R105,3)),'CIRS Table Info'!$B$6:$J$425,8,FALSE),IF(VLOOKUP(VALUE(LEFT($R105,3)),'CIRS Table Info'!$B$6:$J$425,9,FALSE)="Closed","/CLOSED","")))),IF(VALUE(MID($R105,5,3))&lt;192,"",IF(VALUE(MID($R105,5,3))&gt;597,"",CONCATENATE(VLOOKUP(VALUE(MID($R105,5,3)),'CIRS Table Info'!$B$6:$J$425,6,FALSE),"/",VLOOKUP(VALUE(MID($R105,5,3)),'CIRS Table Info'!$B$6:$J$425,8,FALSE),IF(VLOOKUP(VALUE(MID($R105,5,3)),'CIRS Table Info'!$B$6:$J$425,9,FALSE)="Closed","/CLOSED","")))))</f>
        <v>Blink/Blink</v>
      </c>
      <c r="Q105" s="171"/>
      <c r="R105" s="172">
        <f>VLOOKUP($C105,'CIRS Table IDs'!$B:$P,14,FALSE)</f>
        <v>541</v>
      </c>
      <c r="S105" s="410">
        <v>1701.3626710000001</v>
      </c>
      <c r="T105" s="411">
        <v>94.999999000000003</v>
      </c>
      <c r="V105" s="49"/>
      <c r="W105" s="49"/>
    </row>
    <row r="106" spans="1:24" x14ac:dyDescent="0.2">
      <c r="A106" s="477">
        <v>27</v>
      </c>
      <c r="B106" s="477">
        <v>97</v>
      </c>
      <c r="C106" s="478" t="s">
        <v>513</v>
      </c>
      <c r="D106" s="479">
        <f t="shared" si="6"/>
        <v>42736</v>
      </c>
      <c r="E106" s="480">
        <v>2017</v>
      </c>
      <c r="F106" s="480">
        <v>1</v>
      </c>
      <c r="G106" s="481">
        <v>0.105555555555556</v>
      </c>
      <c r="H106" s="482">
        <v>9.21875000000002E-2</v>
      </c>
      <c r="I106" s="483">
        <v>3.07291666666668E-2</v>
      </c>
      <c r="J106" s="484">
        <f t="shared" si="7"/>
        <v>42736</v>
      </c>
      <c r="K106" s="480">
        <v>2017</v>
      </c>
      <c r="L106" s="480">
        <v>1</v>
      </c>
      <c r="M106" s="485">
        <v>0.22847222222222199</v>
      </c>
      <c r="N106" s="501">
        <v>3000</v>
      </c>
      <c r="O106" s="486" t="str">
        <f>IF(VALUE(LEFT($R106,3))&lt;192,"",IF(VALUE(LEFT($R106,3))&gt;597,"",VLOOKUP(VALUE(LEFT($R106,3)),'CIRS Table Info'!$B$6:$J$425,2,FALSE)))</f>
        <v/>
      </c>
      <c r="P106" s="498" t="str">
        <f>IF(MID(R106,5,3)="",IF(VALUE(LEFT($R106,3))&lt;192,"",IF(VALUE(LEFT($R106,3))&gt;597,"",CONCATENATE(VLOOKUP(VALUE(LEFT($R106,3)),'CIRS Table Info'!$B$6:$J$425,6,FALSE),"/",VLOOKUP(VALUE(LEFT($R106,3)),'CIRS Table Info'!$B$6:$J$425,8,FALSE),IF(VLOOKUP(VALUE(LEFT($R106,3)),'CIRS Table Info'!$B$6:$J$425,9,FALSE)="Closed","/CLOSED","")))),IF(VALUE(MID($R106,5,3))&lt;192,"",IF(VALUE(MID($R106,5,3))&gt;597,"",CONCATENATE(VLOOKUP(VALUE(MID($R106,5,3)),'CIRS Table Info'!$B$6:$J$425,6,FALSE),"/",VLOOKUP(VALUE(MID($R106,5,3)),'CIRS Table Info'!$B$6:$J$425,8,FALSE),IF(VLOOKUP(VALUE(MID($R106,5,3)),'CIRS Table Info'!$B$6:$J$425,9,FALSE)="Closed","/CLOSED","")))))</f>
        <v/>
      </c>
      <c r="Q106" s="487"/>
      <c r="R106" s="488">
        <f>VLOOKUP($C106,'CIRS Table IDs'!$B:$P,14,FALSE)</f>
        <v>846</v>
      </c>
      <c r="S106" s="489">
        <v>1667.9239500000001</v>
      </c>
      <c r="T106" s="490">
        <v>94.999999000000003</v>
      </c>
    </row>
    <row r="107" spans="1:24" x14ac:dyDescent="0.2">
      <c r="A107" s="21"/>
      <c r="B107" s="21">
        <v>98</v>
      </c>
      <c r="C107" s="45" t="s">
        <v>514</v>
      </c>
      <c r="D107" s="35">
        <f t="shared" si="6"/>
        <v>42736</v>
      </c>
      <c r="E107" s="36">
        <v>2017</v>
      </c>
      <c r="F107" s="36">
        <v>1</v>
      </c>
      <c r="G107" s="161">
        <v>0.58750000000000002</v>
      </c>
      <c r="H107" s="392">
        <v>0.17013888888888901</v>
      </c>
      <c r="I107" s="393">
        <v>0</v>
      </c>
      <c r="J107" s="164">
        <f t="shared" si="7"/>
        <v>42736</v>
      </c>
      <c r="K107" s="36">
        <v>2017</v>
      </c>
      <c r="L107" s="36">
        <v>1</v>
      </c>
      <c r="M107" s="37">
        <v>0.75763888888888897</v>
      </c>
      <c r="N107" s="499" t="s">
        <v>307</v>
      </c>
      <c r="O107" s="367">
        <f>IF(VALUE(LEFT($R107,3))&lt;192,"",IF(VALUE(LEFT($R107,3))&gt;597,"",VLOOKUP(VALUE(LEFT($R107,3)),'CIRS Table Info'!$B$6:$J$425,2,FALSE)))</f>
        <v>15.67</v>
      </c>
      <c r="P107" s="497" t="str">
        <f>IF(MID(R107,5,3)="",IF(VALUE(LEFT($R107,3))&lt;192,"",IF(VALUE(LEFT($R107,3))&gt;597,"",CONCATENATE(VLOOKUP(VALUE(LEFT($R107,3)),'CIRS Table Info'!$B$6:$J$425,6,FALSE),"/",VLOOKUP(VALUE(LEFT($R107,3)),'CIRS Table Info'!$B$6:$J$425,8,FALSE),IF(VLOOKUP(VALUE(LEFT($R107,3)),'CIRS Table Info'!$B$6:$J$425,9,FALSE)="Closed","/CLOSED","")))),IF(VALUE(MID($R107,5,3))&lt;192,"",IF(VALUE(MID($R107,5,3))&gt;597,"",CONCATENATE(VLOOKUP(VALUE(MID($R107,5,3)),'CIRS Table Info'!$B$6:$J$425,6,FALSE),"/",VLOOKUP(VALUE(MID($R107,5,3)),'CIRS Table Info'!$B$6:$J$425,8,FALSE),IF(VLOOKUP(VALUE(MID($R107,5,3)),'CIRS Table Info'!$B$6:$J$425,9,FALSE)="Closed","/CLOSED","")))))</f>
        <v>Centers/</v>
      </c>
      <c r="Q107" s="171"/>
      <c r="R107" s="172">
        <f>VLOOKUP($C107,'CIRS Table IDs'!$B:$P,14,FALSE)</f>
        <v>550</v>
      </c>
      <c r="S107" s="410">
        <v>1740.3957519999999</v>
      </c>
      <c r="T107" s="411">
        <v>70.232873999999995</v>
      </c>
      <c r="V107" s="49"/>
      <c r="W107" s="49"/>
    </row>
    <row r="108" spans="1:24" ht="15.75" x14ac:dyDescent="0.25">
      <c r="A108" s="526"/>
      <c r="B108" s="526">
        <v>99</v>
      </c>
      <c r="C108" s="527" t="s">
        <v>515</v>
      </c>
      <c r="D108" s="528">
        <f t="shared" si="6"/>
        <v>42736</v>
      </c>
      <c r="E108" s="529">
        <v>2017</v>
      </c>
      <c r="F108" s="529">
        <v>1</v>
      </c>
      <c r="G108" s="530">
        <v>0.75763888888888897</v>
      </c>
      <c r="H108" s="531">
        <v>0.141666666666667</v>
      </c>
      <c r="I108" s="532">
        <v>0</v>
      </c>
      <c r="J108" s="533">
        <f t="shared" si="7"/>
        <v>42736</v>
      </c>
      <c r="K108" s="529">
        <v>2017</v>
      </c>
      <c r="L108" s="529">
        <v>1</v>
      </c>
      <c r="M108" s="534">
        <v>0.89930555555555503</v>
      </c>
      <c r="N108" s="535" t="s">
        <v>307</v>
      </c>
      <c r="O108" s="536">
        <f>IF(VALUE(LEFT($R108,3))&lt;192,"",IF(VALUE(LEFT($R108,3))&gt;597,"",VLOOKUP(VALUE(LEFT($R108,3)),'CIRS Table Info'!$B$6:$J$425,2,FALSE)))</f>
        <v>15.67</v>
      </c>
      <c r="P108" s="537" t="str">
        <f>IF(MID(R108,5,3)="",IF(VALUE(LEFT($R108,3))&lt;192,"",IF(VALUE(LEFT($R108,3))&gt;597,"",CONCATENATE(VLOOKUP(VALUE(LEFT($R108,3)),'CIRS Table Info'!$B$6:$J$425,6,FALSE),"/",VLOOKUP(VALUE(LEFT($R108,3)),'CIRS Table Info'!$B$6:$J$425,8,FALSE),IF(VLOOKUP(VALUE(LEFT($R108,3)),'CIRS Table Info'!$B$6:$J$425,9,FALSE)="Closed","/CLOSED","")))),IF(VALUE(MID($R108,5,3))&lt;192,"",IF(VALUE(MID($R108,5,3))&gt;597,"",CONCATENATE(VLOOKUP(VALUE(MID($R108,5,3)),'CIRS Table Info'!$B$6:$J$425,6,FALSE),"/",VLOOKUP(VALUE(MID($R108,5,3)),'CIRS Table Info'!$B$6:$J$425,8,FALSE),IF(VLOOKUP(VALUE(MID($R108,5,3)),'CIRS Table Info'!$B$6:$J$425,9,FALSE)="Closed","/CLOSED","")))))</f>
        <v>Centers/</v>
      </c>
      <c r="Q108" s="538"/>
      <c r="R108" s="539">
        <f>VLOOKUP($C108,'CIRS Table IDs'!$B:$P,14,FALSE)</f>
        <v>500</v>
      </c>
      <c r="S108" s="540">
        <v>1644.0389399999999</v>
      </c>
      <c r="T108" s="411">
        <v>5.3023030000000002</v>
      </c>
      <c r="W108" s="49"/>
      <c r="X108" s="49"/>
    </row>
    <row r="109" spans="1:24" x14ac:dyDescent="0.2">
      <c r="A109" s="21"/>
      <c r="B109" s="21">
        <v>100</v>
      </c>
      <c r="C109" s="45" t="s">
        <v>516</v>
      </c>
      <c r="D109" s="35">
        <f t="shared" si="6"/>
        <v>42736</v>
      </c>
      <c r="E109" s="36">
        <v>2017</v>
      </c>
      <c r="F109" s="36">
        <v>1</v>
      </c>
      <c r="G109" s="161">
        <v>0.89930555555555503</v>
      </c>
      <c r="H109" s="392">
        <v>0.16111111111111101</v>
      </c>
      <c r="I109" s="393">
        <v>0</v>
      </c>
      <c r="J109" s="164">
        <f t="shared" si="7"/>
        <v>42737</v>
      </c>
      <c r="K109" s="36">
        <v>2017</v>
      </c>
      <c r="L109" s="36">
        <v>2</v>
      </c>
      <c r="M109" s="37">
        <v>6.0416666666666702E-2</v>
      </c>
      <c r="N109" s="499" t="s">
        <v>307</v>
      </c>
      <c r="O109" s="367">
        <f>IF(VALUE(LEFT($R109,3))&lt;192,"",IF(VALUE(LEFT($R109,3))&gt;597,"",VLOOKUP(VALUE(LEFT($R109,3)),'CIRS Table Info'!$B$6:$J$425,2,FALSE)))</f>
        <v>15.67</v>
      </c>
      <c r="P109" s="497" t="str">
        <f>IF(MID(R109,5,3)="",IF(VALUE(LEFT($R109,3))&lt;192,"",IF(VALUE(LEFT($R109,3))&gt;597,"",CONCATENATE(VLOOKUP(VALUE(LEFT($R109,3)),'CIRS Table Info'!$B$6:$J$425,6,FALSE),"/",VLOOKUP(VALUE(LEFT($R109,3)),'CIRS Table Info'!$B$6:$J$425,8,FALSE),IF(VLOOKUP(VALUE(LEFT($R109,3)),'CIRS Table Info'!$B$6:$J$425,9,FALSE)="Closed","/CLOSED","")))),IF(VALUE(MID($R109,5,3))&lt;192,"",IF(VALUE(MID($R109,5,3))&gt;597,"",CONCATENATE(VLOOKUP(VALUE(MID($R109,5,3)),'CIRS Table Info'!$B$6:$J$425,6,FALSE),"/",VLOOKUP(VALUE(MID($R109,5,3)),'CIRS Table Info'!$B$6:$J$425,8,FALSE),IF(VLOOKUP(VALUE(MID($R109,5,3)),'CIRS Table Info'!$B$6:$J$425,9,FALSE)="Closed","/CLOSED","")))))</f>
        <v>Centers/</v>
      </c>
      <c r="Q109" s="171"/>
      <c r="R109" s="172" t="str">
        <f>VLOOKUP($C109,'CIRS Table IDs'!$B:$P,14,FALSE)</f>
        <v>203,200,203</v>
      </c>
      <c r="S109" s="410">
        <v>1660.30835</v>
      </c>
      <c r="T109" s="411">
        <v>97.703832000000006</v>
      </c>
      <c r="V109" s="49"/>
      <c r="W109" s="49"/>
      <c r="X109" s="49"/>
    </row>
    <row r="110" spans="1:24" x14ac:dyDescent="0.2">
      <c r="A110" s="21"/>
      <c r="B110" s="21">
        <v>101</v>
      </c>
      <c r="C110" s="45" t="s">
        <v>519</v>
      </c>
      <c r="D110" s="35">
        <f t="shared" si="6"/>
        <v>42737</v>
      </c>
      <c r="E110" s="36">
        <v>2017</v>
      </c>
      <c r="F110" s="36">
        <v>2</v>
      </c>
      <c r="G110" s="161">
        <v>6.0416666666666702E-2</v>
      </c>
      <c r="H110" s="392">
        <v>0.125</v>
      </c>
      <c r="I110" s="393">
        <v>0</v>
      </c>
      <c r="J110" s="164">
        <f t="shared" si="7"/>
        <v>42737</v>
      </c>
      <c r="K110" s="36">
        <v>2017</v>
      </c>
      <c r="L110" s="36">
        <v>2</v>
      </c>
      <c r="M110" s="37">
        <v>0.18541666666666701</v>
      </c>
      <c r="N110" s="499" t="s">
        <v>307</v>
      </c>
      <c r="O110" s="367">
        <f>IF(VALUE(LEFT($R110,3))&lt;192,"",IF(VALUE(LEFT($R110,3))&gt;597,"",VLOOKUP(VALUE(LEFT($R110,3)),'CIRS Table Info'!$B$6:$J$425,2,FALSE)))</f>
        <v>15.67</v>
      </c>
      <c r="P110" s="497" t="str">
        <f>IF(MID(R110,5,3)="",IF(VALUE(LEFT($R110,3))&lt;192,"",IF(VALUE(LEFT($R110,3))&gt;597,"",CONCATENATE(VLOOKUP(VALUE(LEFT($R110,3)),'CIRS Table Info'!$B$6:$J$425,6,FALSE),"/",VLOOKUP(VALUE(LEFT($R110,3)),'CIRS Table Info'!$B$6:$J$425,8,FALSE),IF(VLOOKUP(VALUE(LEFT($R110,3)),'CIRS Table Info'!$B$6:$J$425,9,FALSE)="Closed","/CLOSED","")))),IF(VALUE(MID($R110,5,3))&lt;192,"",IF(VALUE(MID($R110,5,3))&gt;597,"",CONCATENATE(VLOOKUP(VALUE(MID($R110,5,3)),'CIRS Table Info'!$B$6:$J$425,6,FALSE),"/",VLOOKUP(VALUE(MID($R110,5,3)),'CIRS Table Info'!$B$6:$J$425,8,FALSE),IF(VLOOKUP(VALUE(MID($R110,5,3)),'CIRS Table Info'!$B$6:$J$425,9,FALSE)="Closed","/CLOSED","")))))</f>
        <v>Centers/Centers</v>
      </c>
      <c r="Q110" s="171"/>
      <c r="R110" s="172">
        <f>VLOOKUP($C110,'CIRS Table IDs'!$B:$P,14,FALSE)</f>
        <v>453</v>
      </c>
      <c r="S110" s="410">
        <v>1786.4250489999999</v>
      </c>
      <c r="T110" s="411">
        <v>97.609109000000004</v>
      </c>
    </row>
    <row r="111" spans="1:24" x14ac:dyDescent="0.2">
      <c r="A111" s="21"/>
      <c r="B111" s="21">
        <v>102</v>
      </c>
      <c r="C111" s="45" t="s">
        <v>520</v>
      </c>
      <c r="D111" s="35">
        <f t="shared" si="6"/>
        <v>42737</v>
      </c>
      <c r="E111" s="36">
        <v>2017</v>
      </c>
      <c r="F111" s="36">
        <v>2</v>
      </c>
      <c r="G111" s="161">
        <v>0.41666666666666702</v>
      </c>
      <c r="H111" s="392">
        <v>0.104166666666667</v>
      </c>
      <c r="I111" s="393">
        <v>0</v>
      </c>
      <c r="J111" s="164">
        <f t="shared" si="7"/>
        <v>42737</v>
      </c>
      <c r="K111" s="36">
        <v>2017</v>
      </c>
      <c r="L111" s="36">
        <v>2</v>
      </c>
      <c r="M111" s="37">
        <v>0.52083333333333304</v>
      </c>
      <c r="N111" s="499" t="s">
        <v>307</v>
      </c>
      <c r="O111" s="367">
        <v>15.67</v>
      </c>
      <c r="P111" s="497" t="s">
        <v>680</v>
      </c>
      <c r="Q111" s="171"/>
      <c r="R111" s="172">
        <f>VLOOKUP($C111,'CIRS Table IDs'!$B:$P,14,FALSE)</f>
        <v>851</v>
      </c>
      <c r="S111" s="410">
        <v>1328.8424070000001</v>
      </c>
      <c r="T111" s="411">
        <v>99.277597999999998</v>
      </c>
    </row>
    <row r="112" spans="1:24" x14ac:dyDescent="0.2">
      <c r="A112" s="21"/>
      <c r="B112" s="21">
        <v>103</v>
      </c>
      <c r="C112" s="45" t="s">
        <v>523</v>
      </c>
      <c r="D112" s="35">
        <f t="shared" si="6"/>
        <v>42737</v>
      </c>
      <c r="E112" s="36">
        <v>2017</v>
      </c>
      <c r="F112" s="36">
        <v>2</v>
      </c>
      <c r="G112" s="161">
        <v>0.52777777777777801</v>
      </c>
      <c r="H112" s="392">
        <v>8.3333333333333301E-2</v>
      </c>
      <c r="I112" s="393">
        <v>0</v>
      </c>
      <c r="J112" s="164">
        <f t="shared" si="7"/>
        <v>42737</v>
      </c>
      <c r="K112" s="36">
        <v>2017</v>
      </c>
      <c r="L112" s="36">
        <v>2</v>
      </c>
      <c r="M112" s="37">
        <v>0.61111111111111105</v>
      </c>
      <c r="N112" s="499" t="s">
        <v>307</v>
      </c>
      <c r="O112" s="367">
        <f>IF(VALUE(LEFT($R112,3))&lt;192,"",IF(VALUE(LEFT($R112,3))&gt;597,"",VLOOKUP(VALUE(LEFT($R112,3)),'CIRS Table Info'!$B$6:$J$425,2,FALSE)))</f>
        <v>15.67</v>
      </c>
      <c r="P112" s="497" t="s">
        <v>700</v>
      </c>
      <c r="Q112" s="171"/>
      <c r="R112" s="172">
        <f>VLOOKUP($C112,'CIRS Table IDs'!$B:$P,14,FALSE)</f>
        <v>192</v>
      </c>
      <c r="S112" s="410">
        <v>1742.8891599999999</v>
      </c>
      <c r="T112" s="411">
        <v>90.663904000000002</v>
      </c>
    </row>
    <row r="113" spans="1:24" x14ac:dyDescent="0.2">
      <c r="A113" s="21"/>
      <c r="B113" s="21">
        <v>104</v>
      </c>
      <c r="C113" s="45" t="s">
        <v>524</v>
      </c>
      <c r="D113" s="35">
        <f t="shared" si="6"/>
        <v>42737</v>
      </c>
      <c r="E113" s="36">
        <v>2017</v>
      </c>
      <c r="F113" s="36">
        <v>2</v>
      </c>
      <c r="G113" s="161">
        <v>0.61111111111111105</v>
      </c>
      <c r="H113" s="392">
        <v>0.125</v>
      </c>
      <c r="I113" s="393">
        <v>0</v>
      </c>
      <c r="J113" s="164">
        <f t="shared" si="7"/>
        <v>42737</v>
      </c>
      <c r="K113" s="36">
        <v>2017</v>
      </c>
      <c r="L113" s="36">
        <v>2</v>
      </c>
      <c r="M113" s="37">
        <v>0.73611111111111105</v>
      </c>
      <c r="N113" s="499" t="s">
        <v>307</v>
      </c>
      <c r="O113" s="367">
        <f>IF(VALUE(LEFT($R113,3))&lt;192,"",IF(VALUE(LEFT($R113,3))&gt;597,"",VLOOKUP(VALUE(LEFT($R113,3)),'CIRS Table Info'!$B$6:$J$425,2,FALSE)))</f>
        <v>15.67</v>
      </c>
      <c r="P113" s="497" t="str">
        <f>IF(MID(R113,5,3)="",IF(VALUE(LEFT($R113,3))&lt;192,"",IF(VALUE(LEFT($R113,3))&gt;597,"",CONCATENATE(VLOOKUP(VALUE(LEFT($R113,3)),'CIRS Table Info'!$B$6:$J$425,6,FALSE),"/",VLOOKUP(VALUE(LEFT($R113,3)),'CIRS Table Info'!$B$6:$J$425,8,FALSE),IF(VLOOKUP(VALUE(LEFT($R113,3)),'CIRS Table Info'!$B$6:$J$425,9,FALSE)="Closed","/CLOSED","")))),IF(VALUE(MID($R113,5,3))&lt;192,"",IF(VALUE(MID($R113,5,3))&gt;597,"",CONCATENATE(VLOOKUP(VALUE(MID($R113,5,3)),'CIRS Table Info'!$B$6:$J$425,6,FALSE),"/",VLOOKUP(VALUE(MID($R113,5,3)),'CIRS Table Info'!$B$6:$J$425,8,FALSE),IF(VLOOKUP(VALUE(MID($R113,5,3)),'CIRS Table Info'!$B$6:$J$425,9,FALSE)="Closed","/CLOSED","")))))</f>
        <v>Centers/</v>
      </c>
      <c r="Q113" s="171"/>
      <c r="R113" s="172">
        <f>VLOOKUP($C113,'CIRS Table IDs'!$B:$P,14,FALSE)</f>
        <v>450</v>
      </c>
      <c r="S113" s="410">
        <v>1685.6832280000001</v>
      </c>
      <c r="T113" s="411">
        <v>75.731962999999993</v>
      </c>
      <c r="W113" s="49"/>
      <c r="X113" s="49"/>
    </row>
    <row r="114" spans="1:24" x14ac:dyDescent="0.2">
      <c r="A114" s="21"/>
      <c r="B114" s="21">
        <v>105</v>
      </c>
      <c r="C114" s="45" t="s">
        <v>525</v>
      </c>
      <c r="D114" s="35">
        <f t="shared" si="6"/>
        <v>42737</v>
      </c>
      <c r="E114" s="36">
        <v>2017</v>
      </c>
      <c r="F114" s="36">
        <v>2</v>
      </c>
      <c r="G114" s="161">
        <v>0.73611111111111105</v>
      </c>
      <c r="H114" s="392">
        <v>0.20833333333333301</v>
      </c>
      <c r="I114" s="393">
        <v>0</v>
      </c>
      <c r="J114" s="164">
        <f t="shared" si="7"/>
        <v>42737</v>
      </c>
      <c r="K114" s="36">
        <v>2017</v>
      </c>
      <c r="L114" s="36">
        <v>2</v>
      </c>
      <c r="M114" s="37">
        <v>0.94444444444444497</v>
      </c>
      <c r="N114" s="499" t="s">
        <v>307</v>
      </c>
      <c r="O114" s="367">
        <f>IF(VALUE(LEFT($R114,3))&lt;192,"",IF(VALUE(LEFT($R114,3))&gt;597,"",VLOOKUP(VALUE(LEFT($R114,3)),'CIRS Table Info'!$B$6:$J$425,2,FALSE)))</f>
        <v>15.67</v>
      </c>
      <c r="P114" s="497" t="str">
        <f>IF(MID(R114,5,3)="",IF(VALUE(LEFT($R114,3))&lt;192,"",IF(VALUE(LEFT($R114,3))&gt;597,"",CONCATENATE(VLOOKUP(VALUE(LEFT($R114,3)),'CIRS Table Info'!$B$6:$J$425,6,FALSE),"/",VLOOKUP(VALUE(LEFT($R114,3)),'CIRS Table Info'!$B$6:$J$425,8,FALSE),IF(VLOOKUP(VALUE(LEFT($R114,3)),'CIRS Table Info'!$B$6:$J$425,9,FALSE)="Closed","/CLOSED","")))),IF(VALUE(MID($R114,5,3))&lt;192,"",IF(VALUE(MID($R114,5,3))&gt;597,"",CONCATENATE(VLOOKUP(VALUE(MID($R114,5,3)),'CIRS Table Info'!$B$6:$J$425,6,FALSE),"/",VLOOKUP(VALUE(MID($R114,5,3)),'CIRS Table Info'!$B$6:$J$425,8,FALSE),IF(VLOOKUP(VALUE(MID($R114,5,3)),'CIRS Table Info'!$B$6:$J$425,9,FALSE)="Closed","/CLOSED","")))))</f>
        <v>Centers/</v>
      </c>
      <c r="Q114" s="171"/>
      <c r="R114" s="172" t="str">
        <f>VLOOKUP($C114,'CIRS Table IDs'!$B:$P,14,FALSE)</f>
        <v>203,200,203</v>
      </c>
      <c r="S114" s="410">
        <v>1613.14624</v>
      </c>
      <c r="T114" s="411">
        <v>76.382416000000006</v>
      </c>
      <c r="V114" s="49"/>
      <c r="W114" s="49"/>
    </row>
    <row r="115" spans="1:24" x14ac:dyDescent="0.2">
      <c r="A115" s="477">
        <v>28</v>
      </c>
      <c r="B115" s="477">
        <v>106</v>
      </c>
      <c r="C115" s="478" t="s">
        <v>529</v>
      </c>
      <c r="D115" s="479">
        <f t="shared" si="6"/>
        <v>42738</v>
      </c>
      <c r="E115" s="480">
        <v>2017</v>
      </c>
      <c r="F115" s="480">
        <v>3</v>
      </c>
      <c r="G115" s="481">
        <v>0.29097222222222202</v>
      </c>
      <c r="H115" s="482">
        <v>0.1875</v>
      </c>
      <c r="I115" s="483">
        <v>6.25E-2</v>
      </c>
      <c r="J115" s="484">
        <f t="shared" si="7"/>
        <v>42738</v>
      </c>
      <c r="K115" s="480">
        <v>2017</v>
      </c>
      <c r="L115" s="480">
        <v>3</v>
      </c>
      <c r="M115" s="485">
        <v>0.54097222222222197</v>
      </c>
      <c r="N115" s="501">
        <v>3000</v>
      </c>
      <c r="O115" s="486" t="str">
        <f>IF(VALUE(LEFT($R115,3))&lt;192,"",IF(VALUE(LEFT($R115,3))&gt;597,"",VLOOKUP(VALUE(LEFT($R115,3)),'CIRS Table Info'!$B$6:$J$425,2,FALSE)))</f>
        <v/>
      </c>
      <c r="P115" s="498" t="str">
        <f>IF(MID(R115,5,3)="",IF(VALUE(LEFT($R115,3))&lt;192,"",IF(VALUE(LEFT($R115,3))&gt;597,"",CONCATENATE(VLOOKUP(VALUE(LEFT($R115,3)),'CIRS Table Info'!$B$6:$J$425,6,FALSE),"/",VLOOKUP(VALUE(LEFT($R115,3)),'CIRS Table Info'!$B$6:$J$425,8,FALSE),IF(VLOOKUP(VALUE(LEFT($R115,3)),'CIRS Table Info'!$B$6:$J$425,9,FALSE)="Closed","/CLOSED","")))),IF(VALUE(MID($R115,5,3))&lt;192,"",IF(VALUE(MID($R115,5,3))&gt;597,"",CONCATENATE(VLOOKUP(VALUE(MID($R115,5,3)),'CIRS Table Info'!$B$6:$J$425,6,FALSE),"/",VLOOKUP(VALUE(MID($R115,5,3)),'CIRS Table Info'!$B$6:$J$425,8,FALSE),IF(VLOOKUP(VALUE(MID($R115,5,3)),'CIRS Table Info'!$B$6:$J$425,9,FALSE)="Closed","/CLOSED","")))))</f>
        <v/>
      </c>
      <c r="Q115" s="487"/>
      <c r="R115" s="488">
        <f>VLOOKUP($C115,'CIRS Table IDs'!$B:$P,14,FALSE)</f>
        <v>855</v>
      </c>
      <c r="S115" s="489">
        <v>790.16918899999996</v>
      </c>
      <c r="T115" s="490">
        <v>96.978055999999995</v>
      </c>
      <c r="W115" s="49"/>
      <c r="X115" s="49"/>
    </row>
    <row r="116" spans="1:24" x14ac:dyDescent="0.2">
      <c r="A116" s="21"/>
      <c r="B116" s="21">
        <v>107</v>
      </c>
      <c r="C116" s="45" t="s">
        <v>530</v>
      </c>
      <c r="D116" s="35">
        <f t="shared" si="6"/>
        <v>42738</v>
      </c>
      <c r="E116" s="36">
        <v>2017</v>
      </c>
      <c r="F116" s="36">
        <v>3</v>
      </c>
      <c r="G116" s="161">
        <v>0.92291666666666705</v>
      </c>
      <c r="H116" s="392">
        <v>0.16666666666666699</v>
      </c>
      <c r="I116" s="393">
        <v>0</v>
      </c>
      <c r="J116" s="164">
        <f t="shared" si="7"/>
        <v>42739</v>
      </c>
      <c r="K116" s="36">
        <v>2017</v>
      </c>
      <c r="L116" s="36">
        <v>4</v>
      </c>
      <c r="M116" s="37">
        <v>8.9583333333333307E-2</v>
      </c>
      <c r="N116" s="499" t="s">
        <v>307</v>
      </c>
      <c r="O116" s="367">
        <f>IF(VALUE(LEFT($R116,3))&lt;192,"",IF(VALUE(LEFT($R116,3))&gt;597,"",VLOOKUP(VALUE(LEFT($R116,3)),'CIRS Table Info'!$B$6:$J$425,2,FALSE)))</f>
        <v>2.85</v>
      </c>
      <c r="P116" s="497" t="str">
        <f>IF(MID(R116,5,3)="",IF(VALUE(LEFT($R116,3))&lt;192,"",IF(VALUE(LEFT($R116,3))&gt;597,"",CONCATENATE(VLOOKUP(VALUE(LEFT($R116,3)),'CIRS Table Info'!$B$6:$J$425,6,FALSE),"/",VLOOKUP(VALUE(LEFT($R116,3)),'CIRS Table Info'!$B$6:$J$425,8,FALSE),IF(VLOOKUP(VALUE(LEFT($R116,3)),'CIRS Table Info'!$B$6:$J$425,9,FALSE)="Closed","/CLOSED","")))),IF(VALUE(MID($R116,5,3))&lt;192,"",IF(VALUE(MID($R116,5,3))&gt;597,"",CONCATENATE(VLOOKUP(VALUE(MID($R116,5,3)),'CIRS Table Info'!$B$6:$J$425,6,FALSE),"/",VLOOKUP(VALUE(MID($R116,5,3)),'CIRS Table Info'!$B$6:$J$425,8,FALSE),IF(VLOOKUP(VALUE(MID($R116,5,3)),'CIRS Table Info'!$B$6:$J$425,9,FALSE)="Closed","/CLOSED","")))))</f>
        <v>Centers/</v>
      </c>
      <c r="Q116" s="171"/>
      <c r="R116" s="172" t="str">
        <f>VLOOKUP($C116,'CIRS Table IDs'!$B:$P,14,FALSE)</f>
        <v>228,225,228</v>
      </c>
      <c r="S116" s="410">
        <v>1094.7802730000001</v>
      </c>
      <c r="T116" s="411">
        <v>99.959200999999993</v>
      </c>
      <c r="W116" s="49"/>
      <c r="X116" s="49"/>
    </row>
    <row r="117" spans="1:24" x14ac:dyDescent="0.2">
      <c r="A117" s="21"/>
      <c r="B117" s="21">
        <v>108</v>
      </c>
      <c r="C117" s="45" t="s">
        <v>533</v>
      </c>
      <c r="D117" s="35">
        <f t="shared" si="6"/>
        <v>42739</v>
      </c>
      <c r="E117" s="36">
        <v>2017</v>
      </c>
      <c r="F117" s="36">
        <v>4</v>
      </c>
      <c r="G117" s="161">
        <v>8.9583333333333307E-2</v>
      </c>
      <c r="H117" s="392">
        <v>0.41041666666666698</v>
      </c>
      <c r="I117" s="393">
        <v>0</v>
      </c>
      <c r="J117" s="164">
        <f t="shared" si="7"/>
        <v>42739</v>
      </c>
      <c r="K117" s="36">
        <v>2017</v>
      </c>
      <c r="L117" s="36">
        <v>4</v>
      </c>
      <c r="M117" s="37">
        <v>0.5</v>
      </c>
      <c r="N117" s="499" t="s">
        <v>307</v>
      </c>
      <c r="O117" s="367">
        <f>IF(VALUE(LEFT($R117,3))&lt;192,"",IF(VALUE(LEFT($R117,3))&gt;597,"",VLOOKUP(VALUE(LEFT($R117,3)),'CIRS Table Info'!$B$6:$J$425,2,FALSE)))</f>
        <v>15.67</v>
      </c>
      <c r="P117" s="497" t="s">
        <v>701</v>
      </c>
      <c r="Q117" s="171"/>
      <c r="R117" s="513">
        <f>VLOOKUP($C117,'CIRS Table IDs'!$B:$P,14,FALSE)</f>
        <v>203200203200203</v>
      </c>
      <c r="S117" s="410">
        <v>1387.2873540000001</v>
      </c>
      <c r="T117" s="411">
        <v>99.814509999999999</v>
      </c>
    </row>
    <row r="118" spans="1:24" x14ac:dyDescent="0.2">
      <c r="A118" s="21"/>
      <c r="B118" s="21">
        <v>109</v>
      </c>
      <c r="C118" s="45" t="s">
        <v>535</v>
      </c>
      <c r="D118" s="35">
        <f t="shared" si="6"/>
        <v>42739</v>
      </c>
      <c r="E118" s="36">
        <v>2017</v>
      </c>
      <c r="F118" s="36">
        <v>4</v>
      </c>
      <c r="G118" s="161">
        <v>0.5</v>
      </c>
      <c r="H118" s="392">
        <v>0.32569444444444401</v>
      </c>
      <c r="I118" s="393">
        <v>0</v>
      </c>
      <c r="J118" s="164">
        <f t="shared" si="7"/>
        <v>42739</v>
      </c>
      <c r="K118" s="36">
        <v>2017</v>
      </c>
      <c r="L118" s="36">
        <v>4</v>
      </c>
      <c r="M118" s="37">
        <v>0.82569444444444395</v>
      </c>
      <c r="N118" s="499" t="s">
        <v>307</v>
      </c>
      <c r="O118" s="367">
        <f>IF(VALUE(LEFT($R118,3))&lt;192,"",IF(VALUE(LEFT($R118,3))&gt;597,"",VLOOKUP(VALUE(LEFT($R118,3)),'CIRS Table Info'!$B$6:$J$425,2,FALSE)))</f>
        <v>15.67</v>
      </c>
      <c r="P118" s="497" t="str">
        <f>IF(MID(R118,5,3)="",IF(VALUE(LEFT($R118,3))&lt;192,"",IF(VALUE(LEFT($R118,3))&gt;597,"",CONCATENATE(VLOOKUP(VALUE(LEFT($R118,3)),'CIRS Table Info'!$B$6:$J$425,6,FALSE),"/",VLOOKUP(VALUE(LEFT($R118,3)),'CIRS Table Info'!$B$6:$J$425,8,FALSE),IF(VLOOKUP(VALUE(LEFT($R118,3)),'CIRS Table Info'!$B$6:$J$425,9,FALSE)="Closed","/CLOSED","")))),IF(VALUE(MID($R118,5,3))&lt;192,"",IF(VALUE(MID($R118,5,3))&gt;597,"",CONCATENATE(VLOOKUP(VALUE(MID($R118,5,3)),'CIRS Table Info'!$B$6:$J$425,6,FALSE),"/",VLOOKUP(VALUE(MID($R118,5,3)),'CIRS Table Info'!$B$6:$J$425,8,FALSE),IF(VLOOKUP(VALUE(MID($R118,5,3)),'CIRS Table Info'!$B$6:$J$425,9,FALSE)="Closed","/CLOSED","")))))</f>
        <v>Centers/</v>
      </c>
      <c r="Q118" s="171"/>
      <c r="R118" s="172">
        <f>VLOOKUP($C118,'CIRS Table IDs'!$B:$P,14,FALSE)</f>
        <v>500</v>
      </c>
      <c r="S118" s="410">
        <v>1126.990845</v>
      </c>
      <c r="T118" s="411">
        <v>100</v>
      </c>
    </row>
    <row r="119" spans="1:24" x14ac:dyDescent="0.2">
      <c r="A119" s="477">
        <v>29</v>
      </c>
      <c r="B119" s="477">
        <v>110</v>
      </c>
      <c r="C119" s="478" t="s">
        <v>536</v>
      </c>
      <c r="D119" s="479">
        <f t="shared" si="6"/>
        <v>42739</v>
      </c>
      <c r="E119" s="480">
        <v>2017</v>
      </c>
      <c r="F119" s="480">
        <v>4</v>
      </c>
      <c r="G119" s="481">
        <v>0.89513888888888904</v>
      </c>
      <c r="H119" s="482">
        <v>0.25</v>
      </c>
      <c r="I119" s="483">
        <v>8.3333333333333301E-2</v>
      </c>
      <c r="J119" s="484">
        <f t="shared" si="7"/>
        <v>42740</v>
      </c>
      <c r="K119" s="480">
        <v>2017</v>
      </c>
      <c r="L119" s="480">
        <v>5</v>
      </c>
      <c r="M119" s="485">
        <v>0.22847222222222199</v>
      </c>
      <c r="N119" s="501">
        <v>3000</v>
      </c>
      <c r="O119" s="486" t="str">
        <f>IF(VALUE(LEFT($R119,3))&lt;192,"",IF(VALUE(LEFT($R119,3))&gt;597,"",VLOOKUP(VALUE(LEFT($R119,3)),'CIRS Table Info'!$B$6:$J$425,2,FALSE)))</f>
        <v/>
      </c>
      <c r="P119" s="498" t="str">
        <f>IF(MID(R119,5,3)="",IF(VALUE(LEFT($R119,3))&lt;192,"",IF(VALUE(LEFT($R119,3))&gt;597,"",CONCATENATE(VLOOKUP(VALUE(LEFT($R119,3)),'CIRS Table Info'!$B$6:$J$425,6,FALSE),"/",VLOOKUP(VALUE(LEFT($R119,3)),'CIRS Table Info'!$B$6:$J$425,8,FALSE),IF(VLOOKUP(VALUE(LEFT($R119,3)),'CIRS Table Info'!$B$6:$J$425,9,FALSE)="Closed","/CLOSED","")))),IF(VALUE(MID($R119,5,3))&lt;192,"",IF(VALUE(MID($R119,5,3))&gt;597,"",CONCATENATE(VLOOKUP(VALUE(MID($R119,5,3)),'CIRS Table Info'!$B$6:$J$425,6,FALSE),"/",VLOOKUP(VALUE(MID($R119,5,3)),'CIRS Table Info'!$B$6:$J$425,8,FALSE),IF(VLOOKUP(VALUE(MID($R119,5,3)),'CIRS Table Info'!$B$6:$J$425,9,FALSE)="Closed","/CLOSED","")))))</f>
        <v/>
      </c>
      <c r="Q119" s="487"/>
      <c r="R119" s="488">
        <f>VLOOKUP($C119,'CIRS Table IDs'!$B:$P,14,FALSE)</f>
        <v>859</v>
      </c>
      <c r="S119" s="489">
        <v>1360.483154</v>
      </c>
      <c r="T119" s="490">
        <v>75.818579999999997</v>
      </c>
    </row>
    <row r="120" spans="1:24" x14ac:dyDescent="0.2">
      <c r="A120" s="21"/>
      <c r="B120" s="21">
        <v>111</v>
      </c>
      <c r="C120" s="45" t="s">
        <v>537</v>
      </c>
      <c r="D120" s="35">
        <f t="shared" si="6"/>
        <v>42740</v>
      </c>
      <c r="E120" s="36">
        <v>2017</v>
      </c>
      <c r="F120" s="36">
        <v>5</v>
      </c>
      <c r="G120" s="161">
        <v>0.29097222222222202</v>
      </c>
      <c r="H120" s="392">
        <v>0.41111111111111098</v>
      </c>
      <c r="I120" s="393">
        <v>0</v>
      </c>
      <c r="J120" s="164">
        <f t="shared" si="7"/>
        <v>42740</v>
      </c>
      <c r="K120" s="36">
        <v>2017</v>
      </c>
      <c r="L120" s="36">
        <v>5</v>
      </c>
      <c r="M120" s="37">
        <v>0.70208333333333295</v>
      </c>
      <c r="N120" s="499" t="s">
        <v>307</v>
      </c>
      <c r="O120" s="367">
        <f>IF(VALUE(LEFT($R120,3))&lt;192,"",IF(VALUE(LEFT($R120,3))&gt;597,"",VLOOKUP(VALUE(LEFT($R120,3)),'CIRS Table Info'!$B$6:$J$425,2,FALSE)))</f>
        <v>15.67</v>
      </c>
      <c r="P120" s="497" t="s">
        <v>701</v>
      </c>
      <c r="Q120" s="171"/>
      <c r="R120" s="513">
        <f>VLOOKUP($C120,'CIRS Table IDs'!$B:$P,14,FALSE)</f>
        <v>203200203200203</v>
      </c>
      <c r="S120" s="410">
        <v>1415.8532709999999</v>
      </c>
      <c r="T120" s="411">
        <v>99.643086999999994</v>
      </c>
      <c r="V120" s="49"/>
      <c r="W120" s="49"/>
      <c r="X120" s="49"/>
    </row>
    <row r="121" spans="1:24" x14ac:dyDescent="0.2">
      <c r="A121" s="477">
        <v>30</v>
      </c>
      <c r="B121" s="477">
        <v>112</v>
      </c>
      <c r="C121" s="478" t="s">
        <v>540</v>
      </c>
      <c r="D121" s="479">
        <f t="shared" si="6"/>
        <v>42740</v>
      </c>
      <c r="E121" s="480">
        <v>2017</v>
      </c>
      <c r="F121" s="480">
        <v>5</v>
      </c>
      <c r="G121" s="481">
        <v>0.80625000000000002</v>
      </c>
      <c r="H121" s="482">
        <v>0.25</v>
      </c>
      <c r="I121" s="483">
        <v>8.3333333333333301E-2</v>
      </c>
      <c r="J121" s="484">
        <f t="shared" si="7"/>
        <v>42741</v>
      </c>
      <c r="K121" s="480">
        <v>2017</v>
      </c>
      <c r="L121" s="480">
        <v>6</v>
      </c>
      <c r="M121" s="485">
        <v>0.139583333333333</v>
      </c>
      <c r="N121" s="501">
        <v>3000</v>
      </c>
      <c r="O121" s="486" t="str">
        <f>IF(VALUE(LEFT($R121,3))&lt;192,"",IF(VALUE(LEFT($R121,3))&gt;597,"",VLOOKUP(VALUE(LEFT($R121,3)),'CIRS Table Info'!$B$6:$J$425,2,FALSE)))</f>
        <v/>
      </c>
      <c r="P121" s="498" t="str">
        <f>IF(MID(R121,5,3)="",IF(VALUE(LEFT($R121,3))&lt;192,"",IF(VALUE(LEFT($R121,3))&gt;597,"",CONCATENATE(VLOOKUP(VALUE(LEFT($R121,3)),'CIRS Table Info'!$B$6:$J$425,6,FALSE),"/",VLOOKUP(VALUE(LEFT($R121,3)),'CIRS Table Info'!$B$6:$J$425,8,FALSE),IF(VLOOKUP(VALUE(LEFT($R121,3)),'CIRS Table Info'!$B$6:$J$425,9,FALSE)="Closed","/CLOSED","")))),IF(VALUE(MID($R121,5,3))&lt;192,"",IF(VALUE(MID($R121,5,3))&gt;597,"",CONCATENATE(VLOOKUP(VALUE(MID($R121,5,3)),'CIRS Table Info'!$B$6:$J$425,6,FALSE),"/",VLOOKUP(VALUE(MID($R121,5,3)),'CIRS Table Info'!$B$6:$J$425,8,FALSE),IF(VLOOKUP(VALUE(MID($R121,5,3)),'CIRS Table Info'!$B$6:$J$425,9,FALSE)="Closed","/CLOSED","")))))</f>
        <v/>
      </c>
      <c r="Q121" s="487"/>
      <c r="R121" s="488">
        <f>VLOOKUP($C121,'CIRS Table IDs'!$B:$P,14,FALSE)</f>
        <v>861</v>
      </c>
      <c r="S121" s="489">
        <v>1016.348022</v>
      </c>
      <c r="T121" s="490">
        <v>100</v>
      </c>
      <c r="W121" s="49"/>
      <c r="X121" s="49"/>
    </row>
    <row r="122" spans="1:24" x14ac:dyDescent="0.2">
      <c r="A122" s="477">
        <v>31</v>
      </c>
      <c r="B122" s="477">
        <v>113</v>
      </c>
      <c r="C122" s="478" t="s">
        <v>541</v>
      </c>
      <c r="D122" s="479">
        <f t="shared" si="6"/>
        <v>42741</v>
      </c>
      <c r="E122" s="480">
        <v>2017</v>
      </c>
      <c r="F122" s="480">
        <v>6</v>
      </c>
      <c r="G122" s="481">
        <v>0.77083333333333304</v>
      </c>
      <c r="H122" s="482">
        <v>0.25</v>
      </c>
      <c r="I122" s="483">
        <v>8.3333333333333301E-2</v>
      </c>
      <c r="J122" s="484">
        <f t="shared" si="7"/>
        <v>42742</v>
      </c>
      <c r="K122" s="480">
        <v>2017</v>
      </c>
      <c r="L122" s="480">
        <v>7</v>
      </c>
      <c r="M122" s="485">
        <v>0.104166666666667</v>
      </c>
      <c r="N122" s="501">
        <v>3000</v>
      </c>
      <c r="O122" s="486" t="str">
        <f>IF(VALUE(LEFT($R122,3))&lt;192,"",IF(VALUE(LEFT($R122,3))&gt;597,"",VLOOKUP(VALUE(LEFT($R122,3)),'CIRS Table Info'!$B$6:$J$425,2,FALSE)))</f>
        <v/>
      </c>
      <c r="P122" s="498" t="str">
        <f>IF(MID(R122,5,3)="",IF(VALUE(LEFT($R122,3))&lt;192,"",IF(VALUE(LEFT($R122,3))&gt;597,"",CONCATENATE(VLOOKUP(VALUE(LEFT($R122,3)),'CIRS Table Info'!$B$6:$J$425,6,FALSE),"/",VLOOKUP(VALUE(LEFT($R122,3)),'CIRS Table Info'!$B$6:$J$425,8,FALSE),IF(VLOOKUP(VALUE(LEFT($R122,3)),'CIRS Table Info'!$B$6:$J$425,9,FALSE)="Closed","/CLOSED","")))),IF(VALUE(MID($R122,5,3))&lt;192,"",IF(VALUE(MID($R122,5,3))&gt;597,"",CONCATENATE(VLOOKUP(VALUE(MID($R122,5,3)),'CIRS Table Info'!$B$6:$J$425,6,FALSE),"/",VLOOKUP(VALUE(MID($R122,5,3)),'CIRS Table Info'!$B$6:$J$425,8,FALSE),IF(VLOOKUP(VALUE(MID($R122,5,3)),'CIRS Table Info'!$B$6:$J$425,9,FALSE)="Closed","/CLOSED","")))))</f>
        <v/>
      </c>
      <c r="Q122" s="487"/>
      <c r="R122" s="488">
        <f>VLOOKUP($C122,'CIRS Table IDs'!$B:$P,14,FALSE)</f>
        <v>862</v>
      </c>
      <c r="S122" s="489">
        <v>1013.095093</v>
      </c>
      <c r="T122" s="490">
        <v>100</v>
      </c>
      <c r="W122" s="49"/>
      <c r="X122" s="49"/>
    </row>
    <row r="123" spans="1:24" x14ac:dyDescent="0.2">
      <c r="A123" s="21"/>
      <c r="B123" s="21">
        <v>114</v>
      </c>
      <c r="C123" s="45" t="s">
        <v>542</v>
      </c>
      <c r="D123" s="35">
        <f t="shared" si="6"/>
        <v>42742</v>
      </c>
      <c r="E123" s="36">
        <v>2017</v>
      </c>
      <c r="F123" s="36">
        <v>7</v>
      </c>
      <c r="G123" s="161">
        <v>0.131944444444444</v>
      </c>
      <c r="H123" s="392">
        <v>0.35763888888888901</v>
      </c>
      <c r="I123" s="393">
        <v>0</v>
      </c>
      <c r="J123" s="164">
        <f t="shared" si="7"/>
        <v>42742</v>
      </c>
      <c r="K123" s="36">
        <v>2017</v>
      </c>
      <c r="L123" s="36">
        <v>7</v>
      </c>
      <c r="M123" s="37">
        <v>0.48958333333333298</v>
      </c>
      <c r="N123" s="499" t="s">
        <v>307</v>
      </c>
      <c r="O123" s="367">
        <f>IF(VALUE(LEFT($R123,3))&lt;192,"",IF(VALUE(LEFT($R123,3))&gt;597,"",VLOOKUP(VALUE(LEFT($R123,3)),'CIRS Table Info'!$B$6:$J$425,2,FALSE)))</f>
        <v>15.67</v>
      </c>
      <c r="P123" s="497" t="str">
        <f>IF(MID(R123,5,3)="",IF(VALUE(LEFT($R123,3))&lt;192,"",IF(VALUE(LEFT($R123,3))&gt;597,"",CONCATENATE(VLOOKUP(VALUE(LEFT($R123,3)),'CIRS Table Info'!$B$6:$J$425,6,FALSE),"/",VLOOKUP(VALUE(LEFT($R123,3)),'CIRS Table Info'!$B$6:$J$425,8,FALSE),IF(VLOOKUP(VALUE(LEFT($R123,3)),'CIRS Table Info'!$B$6:$J$425,9,FALSE)="Closed","/CLOSED","")))),IF(VALUE(MID($R123,5,3))&lt;192,"",IF(VALUE(MID($R123,5,3))&gt;597,"",CONCATENATE(VLOOKUP(VALUE(MID($R123,5,3)),'CIRS Table Info'!$B$6:$J$425,6,FALSE),"/",VLOOKUP(VALUE(MID($R123,5,3)),'CIRS Table Info'!$B$6:$J$425,8,FALSE),IF(VLOOKUP(VALUE(MID($R123,5,3)),'CIRS Table Info'!$B$6:$J$425,9,FALSE)="Closed","/CLOSED","")))))</f>
        <v>Centers/</v>
      </c>
      <c r="Q123" s="171"/>
      <c r="R123" s="172">
        <f>VLOOKUP($C123,'CIRS Table IDs'!$B:$P,14,FALSE)</f>
        <v>550</v>
      </c>
      <c r="S123" s="410">
        <v>937.16284199999996</v>
      </c>
      <c r="T123" s="411">
        <v>100</v>
      </c>
    </row>
    <row r="124" spans="1:24" x14ac:dyDescent="0.2">
      <c r="A124" s="21"/>
      <c r="B124" s="21">
        <v>115</v>
      </c>
      <c r="C124" s="45" t="s">
        <v>543</v>
      </c>
      <c r="D124" s="35">
        <f t="shared" si="6"/>
        <v>42742</v>
      </c>
      <c r="E124" s="36">
        <v>2017</v>
      </c>
      <c r="F124" s="36">
        <v>7</v>
      </c>
      <c r="G124" s="161">
        <v>0.48958333333333298</v>
      </c>
      <c r="H124" s="392">
        <v>0.25</v>
      </c>
      <c r="I124" s="393">
        <v>0</v>
      </c>
      <c r="J124" s="164">
        <f t="shared" si="7"/>
        <v>42742</v>
      </c>
      <c r="K124" s="36">
        <v>2017</v>
      </c>
      <c r="L124" s="36">
        <v>7</v>
      </c>
      <c r="M124" s="37">
        <v>0.73958333333333304</v>
      </c>
      <c r="N124" s="499" t="s">
        <v>307</v>
      </c>
      <c r="O124" s="367">
        <f>IF(VALUE(LEFT($R124,3))&lt;192,"",IF(VALUE(LEFT($R124,3))&gt;597,"",VLOOKUP(VALUE(LEFT($R124,3)),'CIRS Table Info'!$B$6:$J$425,2,FALSE)))</f>
        <v>2.85</v>
      </c>
      <c r="P124" s="497" t="str">
        <f>IF(MID(R124,5,3)="",IF(VALUE(LEFT($R124,3))&lt;192,"",IF(VALUE(LEFT($R124,3))&gt;597,"",CONCATENATE(VLOOKUP(VALUE(LEFT($R124,3)),'CIRS Table Info'!$B$6:$J$425,6,FALSE),"/",VLOOKUP(VALUE(LEFT($R124,3)),'CIRS Table Info'!$B$6:$J$425,8,FALSE),IF(VLOOKUP(VALUE(LEFT($R124,3)),'CIRS Table Info'!$B$6:$J$425,9,FALSE)="Closed","/CLOSED","")))),IF(VALUE(MID($R124,5,3))&lt;192,"",IF(VALUE(MID($R124,5,3))&gt;597,"",CONCATENATE(VLOOKUP(VALUE(MID($R124,5,3)),'CIRS Table Info'!$B$6:$J$425,6,FALSE),"/",VLOOKUP(VALUE(MID($R124,5,3)),'CIRS Table Info'!$B$6:$J$425,8,FALSE),IF(VLOOKUP(VALUE(MID($R124,5,3)),'CIRS Table Info'!$B$6:$J$425,9,FALSE)="Closed","/CLOSED","")))))</f>
        <v>Centers/</v>
      </c>
      <c r="Q124" s="171"/>
      <c r="R124" s="172" t="str">
        <f>VLOOKUP($C124,'CIRS Table IDs'!$B:$P,14,FALSE)</f>
        <v>228,225,228,225,228</v>
      </c>
      <c r="S124" s="410">
        <v>1234.412476</v>
      </c>
      <c r="T124" s="411">
        <v>100</v>
      </c>
      <c r="W124" s="49"/>
      <c r="X124" s="49"/>
    </row>
    <row r="125" spans="1:24" x14ac:dyDescent="0.2">
      <c r="A125" s="21"/>
      <c r="B125" s="21">
        <v>116</v>
      </c>
      <c r="C125" s="45" t="s">
        <v>546</v>
      </c>
      <c r="D125" s="35">
        <f t="shared" si="6"/>
        <v>42742</v>
      </c>
      <c r="E125" s="36">
        <v>2017</v>
      </c>
      <c r="F125" s="36">
        <v>7</v>
      </c>
      <c r="G125" s="161">
        <v>0.73958333333333304</v>
      </c>
      <c r="H125" s="392">
        <v>0.65625</v>
      </c>
      <c r="I125" s="393">
        <v>0</v>
      </c>
      <c r="J125" s="164">
        <f t="shared" si="7"/>
        <v>42743</v>
      </c>
      <c r="K125" s="36">
        <v>2017</v>
      </c>
      <c r="L125" s="36">
        <v>8</v>
      </c>
      <c r="M125" s="37">
        <v>0.39583333333333298</v>
      </c>
      <c r="N125" s="499" t="s">
        <v>307</v>
      </c>
      <c r="O125" s="367">
        <f>IF(VALUE(LEFT($R125,3))&lt;192,"",IF(VALUE(LEFT($R125,3))&gt;597,"",VLOOKUP(VALUE(LEFT($R125,3)),'CIRS Table Info'!$B$6:$J$425,2,FALSE)))</f>
        <v>15.67</v>
      </c>
      <c r="P125" s="497" t="s">
        <v>700</v>
      </c>
      <c r="Q125" s="171"/>
      <c r="R125" s="172">
        <f>VLOOKUP($C125,'CIRS Table IDs'!$B:$P,14,FALSE)</f>
        <v>192</v>
      </c>
      <c r="S125" s="410">
        <v>1251.1875</v>
      </c>
      <c r="T125" s="411">
        <v>91.908264000000003</v>
      </c>
      <c r="V125" s="49"/>
      <c r="W125" s="49"/>
    </row>
    <row r="126" spans="1:24" x14ac:dyDescent="0.2">
      <c r="A126" s="15"/>
      <c r="B126" s="21">
        <v>117</v>
      </c>
      <c r="C126" s="45" t="s">
        <v>547</v>
      </c>
      <c r="D126" s="35">
        <f t="shared" si="6"/>
        <v>42743</v>
      </c>
      <c r="E126" s="36">
        <v>2017</v>
      </c>
      <c r="F126" s="36">
        <v>8</v>
      </c>
      <c r="G126" s="161">
        <v>0.39583333333333298</v>
      </c>
      <c r="H126" s="392">
        <v>3.4722222222222203E-2</v>
      </c>
      <c r="I126" s="393">
        <v>0</v>
      </c>
      <c r="J126" s="164">
        <f t="shared" si="7"/>
        <v>42743</v>
      </c>
      <c r="K126" s="36">
        <v>2017</v>
      </c>
      <c r="L126" s="36">
        <v>8</v>
      </c>
      <c r="M126" s="37">
        <v>0.43055555555555602</v>
      </c>
      <c r="N126" s="499" t="s">
        <v>307</v>
      </c>
      <c r="O126" s="367">
        <f>IF(VALUE(LEFT($R126,3))&lt;192,"",IF(VALUE(LEFT($R126,3))&gt;597,"",VLOOKUP(VALUE(LEFT($R126,3)),'CIRS Table Info'!$B$6:$J$425,2,FALSE)))</f>
        <v>15.67</v>
      </c>
      <c r="P126" s="497" t="str">
        <f>IF(MID(R126,5,3)="",IF(VALUE(LEFT($R126,3))&lt;192,"",IF(VALUE(LEFT($R126,3))&gt;597,"",CONCATENATE(VLOOKUP(VALUE(LEFT($R126,3)),'CIRS Table Info'!$B$6:$J$425,6,FALSE),"/",VLOOKUP(VALUE(LEFT($R126,3)),'CIRS Table Info'!$B$6:$J$425,8,FALSE),IF(VLOOKUP(VALUE(LEFT($R126,3)),'CIRS Table Info'!$B$6:$J$425,9,FALSE)="Closed","/CLOSED","")))),IF(VALUE(MID($R126,5,3))&lt;192,"",IF(VALUE(MID($R126,5,3))&gt;597,"",CONCATENATE(VLOOKUP(VALUE(MID($R126,5,3)),'CIRS Table Info'!$B$6:$J$425,6,FALSE),"/",VLOOKUP(VALUE(MID($R126,5,3)),'CIRS Table Info'!$B$6:$J$425,8,FALSE),IF(VLOOKUP(VALUE(MID($R126,5,3)),'CIRS Table Info'!$B$6:$J$425,9,FALSE)="Closed","/CLOSED","")))))</f>
        <v>Centers/</v>
      </c>
      <c r="Q126" s="171"/>
      <c r="R126" s="172">
        <f>VLOOKUP($C126,'CIRS Table IDs'!$B:$P,14,FALSE)</f>
        <v>350</v>
      </c>
      <c r="S126" s="410">
        <v>1303.3427730000001</v>
      </c>
      <c r="T126" s="411">
        <v>98.828064999999995</v>
      </c>
    </row>
    <row r="127" spans="1:24" x14ac:dyDescent="0.2">
      <c r="A127" s="477">
        <v>32</v>
      </c>
      <c r="B127" s="477">
        <v>118</v>
      </c>
      <c r="C127" s="478" t="s">
        <v>548</v>
      </c>
      <c r="D127" s="479">
        <f t="shared" si="6"/>
        <v>42743</v>
      </c>
      <c r="E127" s="480">
        <v>2017</v>
      </c>
      <c r="F127" s="480">
        <v>8</v>
      </c>
      <c r="G127" s="481">
        <v>0.55138888888888904</v>
      </c>
      <c r="H127" s="482">
        <v>0.25</v>
      </c>
      <c r="I127" s="483">
        <v>8.3333333333333301E-2</v>
      </c>
      <c r="J127" s="484">
        <f t="shared" si="7"/>
        <v>42743</v>
      </c>
      <c r="K127" s="480">
        <v>2017</v>
      </c>
      <c r="L127" s="480">
        <v>8</v>
      </c>
      <c r="M127" s="485">
        <v>0.88472222222222197</v>
      </c>
      <c r="N127" s="501">
        <v>3000</v>
      </c>
      <c r="O127" s="486" t="str">
        <f>IF(VALUE(LEFT($R127,3))&lt;192,"",IF(VALUE(LEFT($R127,3))&gt;597,"",VLOOKUP(VALUE(LEFT($R127,3)),'CIRS Table Info'!$B$6:$J$425,2,FALSE)))</f>
        <v/>
      </c>
      <c r="P127" s="498" t="str">
        <f>IF(MID(R127,5,3)="",IF(VALUE(LEFT($R127,3))&lt;192,"",IF(VALUE(LEFT($R127,3))&gt;597,"",CONCATENATE(VLOOKUP(VALUE(LEFT($R127,3)),'CIRS Table Info'!$B$6:$J$425,6,FALSE),"/",VLOOKUP(VALUE(LEFT($R127,3)),'CIRS Table Info'!$B$6:$J$425,8,FALSE),IF(VLOOKUP(VALUE(LEFT($R127,3)),'CIRS Table Info'!$B$6:$J$425,9,FALSE)="Closed","/CLOSED","")))),IF(VALUE(MID($R127,5,3))&lt;192,"",IF(VALUE(MID($R127,5,3))&gt;597,"",CONCATENATE(VLOOKUP(VALUE(MID($R127,5,3)),'CIRS Table Info'!$B$6:$J$425,6,FALSE),"/",VLOOKUP(VALUE(MID($R127,5,3)),'CIRS Table Info'!$B$6:$J$425,8,FALSE),IF(VLOOKUP(VALUE(MID($R127,5,3)),'CIRS Table Info'!$B$6:$J$425,9,FALSE)="Closed","/CLOSED","")))))</f>
        <v/>
      </c>
      <c r="Q127" s="487"/>
      <c r="R127" s="488">
        <f>VLOOKUP($C127,'CIRS Table IDs'!$B:$P,14,FALSE)</f>
        <v>867</v>
      </c>
      <c r="S127" s="489">
        <v>1385.6632079999999</v>
      </c>
      <c r="T127" s="490">
        <v>75.330132000000006</v>
      </c>
      <c r="W127" s="49"/>
      <c r="X127" s="49"/>
    </row>
    <row r="128" spans="1:24" x14ac:dyDescent="0.2">
      <c r="A128" s="21"/>
      <c r="B128" s="21">
        <v>119</v>
      </c>
      <c r="C128" s="45" t="s">
        <v>549</v>
      </c>
      <c r="D128" s="35">
        <f t="shared" si="6"/>
        <v>42743</v>
      </c>
      <c r="E128" s="36">
        <v>2017</v>
      </c>
      <c r="F128" s="36">
        <v>8</v>
      </c>
      <c r="G128" s="161">
        <v>0.98819444444444404</v>
      </c>
      <c r="H128" s="392">
        <v>3.3333333333333298E-2</v>
      </c>
      <c r="I128" s="393">
        <v>0</v>
      </c>
      <c r="J128" s="164">
        <f t="shared" si="7"/>
        <v>42744</v>
      </c>
      <c r="K128" s="36">
        <v>2017</v>
      </c>
      <c r="L128" s="36">
        <v>9</v>
      </c>
      <c r="M128" s="37">
        <v>2.1527777777777798E-2</v>
      </c>
      <c r="N128" s="499" t="s">
        <v>307</v>
      </c>
      <c r="O128" s="367">
        <f>IF(VALUE(LEFT($R128,3))&lt;192,"",IF(VALUE(LEFT($R128,3))&gt;597,"",VLOOKUP(VALUE(LEFT($R128,3)),'CIRS Table Info'!$B$6:$J$425,2,FALSE)))</f>
        <v>15.67</v>
      </c>
      <c r="P128" s="497" t="s">
        <v>700</v>
      </c>
      <c r="Q128" s="171"/>
      <c r="R128" s="172">
        <f>VLOOKUP($C128,'CIRS Table IDs'!$B:$P,14,FALSE)</f>
        <v>192</v>
      </c>
      <c r="S128" s="410">
        <v>1785.7463379999999</v>
      </c>
      <c r="T128" s="411">
        <v>97.171842999999996</v>
      </c>
    </row>
    <row r="129" spans="1:24" x14ac:dyDescent="0.2">
      <c r="A129" s="21"/>
      <c r="B129" s="21">
        <v>120</v>
      </c>
      <c r="C129" s="45" t="s">
        <v>550</v>
      </c>
      <c r="D129" s="35">
        <f t="shared" si="6"/>
        <v>42744</v>
      </c>
      <c r="E129" s="36">
        <v>2017</v>
      </c>
      <c r="F129" s="36">
        <v>9</v>
      </c>
      <c r="G129" s="161">
        <v>6.31944444444444E-2</v>
      </c>
      <c r="H129" s="392">
        <v>8.2638888888888901E-2</v>
      </c>
      <c r="I129" s="393">
        <v>0</v>
      </c>
      <c r="J129" s="164">
        <f t="shared" si="7"/>
        <v>42744</v>
      </c>
      <c r="K129" s="36">
        <v>2017</v>
      </c>
      <c r="L129" s="36">
        <v>9</v>
      </c>
      <c r="M129" s="37">
        <v>0.14583333333333301</v>
      </c>
      <c r="N129" s="499" t="s">
        <v>307</v>
      </c>
      <c r="O129" s="367">
        <f>IF(VALUE(LEFT($R129,3))&lt;192,"",IF(VALUE(LEFT($R129,3))&gt;597,"",VLOOKUP(VALUE(LEFT($R129,3)),'CIRS Table Info'!$B$6:$J$425,2,FALSE)))</f>
        <v>15.67</v>
      </c>
      <c r="P129" s="497" t="str">
        <f>IF(MID(R129,5,3)="",IF(VALUE(LEFT($R129,3))&lt;192,"",IF(VALUE(LEFT($R129,3))&gt;597,"",CONCATENATE(VLOOKUP(VALUE(LEFT($R129,3)),'CIRS Table Info'!$B$6:$J$425,6,FALSE),"/",VLOOKUP(VALUE(LEFT($R129,3)),'CIRS Table Info'!$B$6:$J$425,8,FALSE),IF(VLOOKUP(VALUE(LEFT($R129,3)),'CIRS Table Info'!$B$6:$J$425,9,FALSE)="Closed","/CLOSED","")))),IF(VALUE(MID($R129,5,3))&lt;192,"",IF(VALUE(MID($R129,5,3))&gt;597,"",CONCATENATE(VLOOKUP(VALUE(MID($R129,5,3)),'CIRS Table Info'!$B$6:$J$425,6,FALSE),"/",VLOOKUP(VALUE(MID($R129,5,3)),'CIRS Table Info'!$B$6:$J$425,8,FALSE),IF(VLOOKUP(VALUE(MID($R129,5,3)),'CIRS Table Info'!$B$6:$J$425,9,FALSE)="Closed","/CLOSED","")))))</f>
        <v>Centers/</v>
      </c>
      <c r="Q129" s="171"/>
      <c r="R129" s="172">
        <f>VLOOKUP($C129,'CIRS Table IDs'!$B:$P,14,FALSE)</f>
        <v>400</v>
      </c>
      <c r="S129" s="410">
        <v>1339.75415</v>
      </c>
      <c r="T129" s="411">
        <v>99.131709000000001</v>
      </c>
    </row>
    <row r="130" spans="1:24" x14ac:dyDescent="0.2">
      <c r="A130" s="21"/>
      <c r="B130" s="21">
        <v>121</v>
      </c>
      <c r="C130" s="45" t="s">
        <v>551</v>
      </c>
      <c r="D130" s="35">
        <f t="shared" si="6"/>
        <v>42744</v>
      </c>
      <c r="E130" s="36">
        <v>2017</v>
      </c>
      <c r="F130" s="36">
        <v>9</v>
      </c>
      <c r="G130" s="161">
        <v>0.14583333333333301</v>
      </c>
      <c r="H130" s="392">
        <v>0.104166666666667</v>
      </c>
      <c r="I130" s="393">
        <v>0</v>
      </c>
      <c r="J130" s="164">
        <f t="shared" si="7"/>
        <v>42744</v>
      </c>
      <c r="K130" s="36">
        <v>2017</v>
      </c>
      <c r="L130" s="36">
        <v>9</v>
      </c>
      <c r="M130" s="37">
        <v>0.25</v>
      </c>
      <c r="N130" s="499" t="s">
        <v>307</v>
      </c>
      <c r="O130" s="367">
        <f>IF(VALUE(LEFT($R130,3))&lt;192,"",IF(VALUE(LEFT($R130,3))&gt;597,"",VLOOKUP(VALUE(LEFT($R130,3)),'CIRS Table Info'!$B$6:$J$425,2,FALSE)))</f>
        <v>15.67</v>
      </c>
      <c r="P130" s="497" t="str">
        <f>IF(MID(R130,5,3)="",IF(VALUE(LEFT($R130,3))&lt;192,"",IF(VALUE(LEFT($R130,3))&gt;597,"",CONCATENATE(VLOOKUP(VALUE(LEFT($R130,3)),'CIRS Table Info'!$B$6:$J$425,6,FALSE),"/",VLOOKUP(VALUE(LEFT($R130,3)),'CIRS Table Info'!$B$6:$J$425,8,FALSE),IF(VLOOKUP(VALUE(LEFT($R130,3)),'CIRS Table Info'!$B$6:$J$425,9,FALSE)="Closed","/CLOSED","")))),IF(VALUE(MID($R130,5,3))&lt;192,"",IF(VALUE(MID($R130,5,3))&gt;597,"",CONCATENATE(VLOOKUP(VALUE(MID($R130,5,3)),'CIRS Table Info'!$B$6:$J$425,6,FALSE),"/",VLOOKUP(VALUE(MID($R130,5,3)),'CIRS Table Info'!$B$6:$J$425,8,FALSE),IF(VLOOKUP(VALUE(MID($R130,5,3)),'CIRS Table Info'!$B$6:$J$425,9,FALSE)="Closed","/CLOSED","")))))</f>
        <v>Centers/</v>
      </c>
      <c r="Q130" s="171"/>
      <c r="R130" s="172">
        <f>VLOOKUP($C130,'CIRS Table IDs'!$B:$P,14,FALSE)</f>
        <v>450</v>
      </c>
      <c r="S130" s="410">
        <v>1847.1523440000001</v>
      </c>
      <c r="T130" s="411">
        <v>88.036620999999997</v>
      </c>
    </row>
    <row r="131" spans="1:24" x14ac:dyDescent="0.2">
      <c r="A131" s="21"/>
      <c r="B131" s="21">
        <v>122</v>
      </c>
      <c r="C131" s="45" t="s">
        <v>552</v>
      </c>
      <c r="D131" s="35">
        <f t="shared" si="6"/>
        <v>42744</v>
      </c>
      <c r="E131" s="36">
        <v>2017</v>
      </c>
      <c r="F131" s="36">
        <v>9</v>
      </c>
      <c r="G131" s="161">
        <v>0.25</v>
      </c>
      <c r="H131" s="392">
        <v>9.7222222222222196E-2</v>
      </c>
      <c r="I131" s="393">
        <v>0</v>
      </c>
      <c r="J131" s="164">
        <f t="shared" si="7"/>
        <v>42744</v>
      </c>
      <c r="K131" s="36">
        <v>2017</v>
      </c>
      <c r="L131" s="36">
        <v>9</v>
      </c>
      <c r="M131" s="37">
        <v>0.34722222222222199</v>
      </c>
      <c r="N131" s="499" t="s">
        <v>307</v>
      </c>
      <c r="O131" s="367">
        <f>IF(VALUE(LEFT($R131,3))&lt;192,"",IF(VALUE(LEFT($R131,3))&gt;597,"",VLOOKUP(VALUE(LEFT($R131,3)),'CIRS Table Info'!$B$6:$J$425,2,FALSE)))</f>
        <v>15.67</v>
      </c>
      <c r="P131" s="497" t="str">
        <f>IF(MID(R131,5,3)="",IF(VALUE(LEFT($R131,3))&lt;192,"",IF(VALUE(LEFT($R131,3))&gt;597,"",CONCATENATE(VLOOKUP(VALUE(LEFT($R131,3)),'CIRS Table Info'!$B$6:$J$425,6,FALSE),"/",VLOOKUP(VALUE(LEFT($R131,3)),'CIRS Table Info'!$B$6:$J$425,8,FALSE),IF(VLOOKUP(VALUE(LEFT($R131,3)),'CIRS Table Info'!$B$6:$J$425,9,FALSE)="Closed","/CLOSED","")))),IF(VALUE(MID($R131,5,3))&lt;192,"",IF(VALUE(MID($R131,5,3))&gt;597,"",CONCATENATE(VLOOKUP(VALUE(MID($R131,5,3)),'CIRS Table Info'!$B$6:$J$425,6,FALSE),"/",VLOOKUP(VALUE(MID($R131,5,3)),'CIRS Table Info'!$B$6:$J$425,8,FALSE),IF(VLOOKUP(VALUE(MID($R131,5,3)),'CIRS Table Info'!$B$6:$J$425,9,FALSE)="Closed","/CLOSED","")))))</f>
        <v>Centers/</v>
      </c>
      <c r="Q131" s="171"/>
      <c r="R131" s="172">
        <f>VLOOKUP($C131,'CIRS Table IDs'!$B:$P,14,FALSE)</f>
        <v>450</v>
      </c>
      <c r="S131" s="410">
        <v>1664.580933</v>
      </c>
      <c r="T131" s="411">
        <v>96.455811999999995</v>
      </c>
      <c r="W131" s="49"/>
      <c r="X131" s="49"/>
    </row>
    <row r="132" spans="1:24" x14ac:dyDescent="0.2">
      <c r="A132" s="21"/>
      <c r="B132" s="21">
        <v>193</v>
      </c>
      <c r="C132" s="45" t="s">
        <v>691</v>
      </c>
      <c r="D132" s="35">
        <f t="shared" si="6"/>
        <v>42744</v>
      </c>
      <c r="E132" s="39">
        <v>2017</v>
      </c>
      <c r="F132" s="36">
        <v>9</v>
      </c>
      <c r="G132" s="37">
        <v>0.41319444444444442</v>
      </c>
      <c r="H132" s="392">
        <v>4.5138888888888895E-2</v>
      </c>
      <c r="I132" s="393">
        <v>0</v>
      </c>
      <c r="J132" s="35">
        <f t="shared" si="7"/>
        <v>42744</v>
      </c>
      <c r="K132" s="47">
        <v>2017</v>
      </c>
      <c r="L132" s="36">
        <v>9</v>
      </c>
      <c r="M132" s="37">
        <v>0.45833333333333331</v>
      </c>
      <c r="N132" s="43">
        <v>3692.3</v>
      </c>
      <c r="O132" s="367"/>
      <c r="P132" s="497"/>
      <c r="Q132" s="171"/>
      <c r="R132" s="172">
        <v>872</v>
      </c>
      <c r="S132" s="410">
        <v>1497.166138</v>
      </c>
      <c r="T132" s="411">
        <v>95.313364000000007</v>
      </c>
      <c r="W132" s="49"/>
      <c r="X132" s="49"/>
    </row>
    <row r="133" spans="1:24" x14ac:dyDescent="0.2">
      <c r="A133" s="21"/>
      <c r="B133" s="21">
        <v>123</v>
      </c>
      <c r="C133" s="45" t="s">
        <v>553</v>
      </c>
      <c r="D133" s="35">
        <f t="shared" si="6"/>
        <v>42744</v>
      </c>
      <c r="E133" s="36">
        <v>2017</v>
      </c>
      <c r="F133" s="36">
        <v>9</v>
      </c>
      <c r="G133" s="161">
        <v>0.45833333333333298</v>
      </c>
      <c r="H133" s="392">
        <v>0.16666666666666699</v>
      </c>
      <c r="I133" s="393">
        <v>0</v>
      </c>
      <c r="J133" s="164">
        <f t="shared" si="7"/>
        <v>42744</v>
      </c>
      <c r="K133" s="36">
        <v>2017</v>
      </c>
      <c r="L133" s="36">
        <v>9</v>
      </c>
      <c r="M133" s="37">
        <v>0.625</v>
      </c>
      <c r="N133" s="499" t="s">
        <v>308</v>
      </c>
      <c r="O133" s="367">
        <f>IF(VALUE(LEFT($R133,3))&lt;192,"",IF(VALUE(LEFT($R133,3))&gt;597,"",VLOOKUP(VALUE(LEFT($R133,3)),'CIRS Table Info'!$B$6:$J$425,2,FALSE)))</f>
        <v>2.85</v>
      </c>
      <c r="P133" s="497" t="str">
        <f>IF(MID(R133,5,3)="",IF(VALUE(LEFT($R133,3))&lt;192,"",IF(VALUE(LEFT($R133,3))&gt;597,"",CONCATENATE(VLOOKUP(VALUE(LEFT($R133,3)),'CIRS Table Info'!$B$6:$J$425,6,FALSE),"/",VLOOKUP(VALUE(LEFT($R133,3)),'CIRS Table Info'!$B$6:$J$425,8,FALSE),IF(VLOOKUP(VALUE(LEFT($R133,3)),'CIRS Table Info'!$B$6:$J$425,9,FALSE)="Closed","/CLOSED","")))),IF(VALUE(MID($R133,5,3))&lt;192,"",IF(VALUE(MID($R133,5,3))&gt;597,"",CONCATENATE(VLOOKUP(VALUE(MID($R133,5,3)),'CIRS Table Info'!$B$6:$J$425,6,FALSE),"/",VLOOKUP(VALUE(MID($R133,5,3)),'CIRS Table Info'!$B$6:$J$425,8,FALSE),IF(VLOOKUP(VALUE(MID($R133,5,3)),'CIRS Table Info'!$B$6:$J$425,9,FALSE)="Closed","/CLOSED","")))))</f>
        <v>Pairs/Pairs</v>
      </c>
      <c r="Q133" s="171"/>
      <c r="R133" s="172">
        <f>VLOOKUP($C133,'CIRS Table IDs'!$B:$P,14,FALSE)</f>
        <v>522</v>
      </c>
      <c r="S133" s="410">
        <v>1744.132568</v>
      </c>
      <c r="T133" s="411">
        <v>89.019971999999996</v>
      </c>
    </row>
    <row r="134" spans="1:24" x14ac:dyDescent="0.2">
      <c r="A134" s="21"/>
      <c r="B134" s="21">
        <v>124</v>
      </c>
      <c r="C134" s="45" t="s">
        <v>554</v>
      </c>
      <c r="D134" s="35">
        <f t="shared" si="6"/>
        <v>42744</v>
      </c>
      <c r="E134" s="36">
        <v>2017</v>
      </c>
      <c r="F134" s="36">
        <v>9</v>
      </c>
      <c r="G134" s="161">
        <v>0.625</v>
      </c>
      <c r="H134" s="392">
        <v>0.25</v>
      </c>
      <c r="I134" s="393">
        <v>0</v>
      </c>
      <c r="J134" s="164">
        <f t="shared" si="7"/>
        <v>42744</v>
      </c>
      <c r="K134" s="36">
        <v>2017</v>
      </c>
      <c r="L134" s="36">
        <v>9</v>
      </c>
      <c r="M134" s="37">
        <v>0.875</v>
      </c>
      <c r="N134" s="499" t="s">
        <v>307</v>
      </c>
      <c r="O134" s="367">
        <f>IF(VALUE(LEFT($R134,3))&lt;192,"",IF(VALUE(LEFT($R134,3))&gt;597,"",VLOOKUP(VALUE(LEFT($R134,3)),'CIRS Table Info'!$B$6:$J$425,2,FALSE)))</f>
        <v>15.67</v>
      </c>
      <c r="P134" s="497" t="str">
        <f>IF(MID(R134,5,3)="",IF(VALUE(LEFT($R134,3))&lt;192,"",IF(VALUE(LEFT($R134,3))&gt;597,"",CONCATENATE(VLOOKUP(VALUE(LEFT($R134,3)),'CIRS Table Info'!$B$6:$J$425,6,FALSE),"/",VLOOKUP(VALUE(LEFT($R134,3)),'CIRS Table Info'!$B$6:$J$425,8,FALSE),IF(VLOOKUP(VALUE(LEFT($R134,3)),'CIRS Table Info'!$B$6:$J$425,9,FALSE)="Closed","/CLOSED","")))),IF(VALUE(MID($R134,5,3))&lt;192,"",IF(VALUE(MID($R134,5,3))&gt;597,"",CONCATENATE(VLOOKUP(VALUE(MID($R134,5,3)),'CIRS Table Info'!$B$6:$J$425,6,FALSE),"/",VLOOKUP(VALUE(MID($R134,5,3)),'CIRS Table Info'!$B$6:$J$425,8,FALSE),IF(VLOOKUP(VALUE(MID($R134,5,3)),'CIRS Table Info'!$B$6:$J$425,9,FALSE)="Closed","/CLOSED","")))))</f>
        <v>Centers/</v>
      </c>
      <c r="Q134" s="171"/>
      <c r="R134" s="172" t="str">
        <f>VLOOKUP($C134,'CIRS Table IDs'!$B:$P,14,FALSE)</f>
        <v>203,200,203,200,203</v>
      </c>
      <c r="S134" s="410">
        <v>1350.8736570000001</v>
      </c>
      <c r="T134" s="411">
        <v>98.986125000000001</v>
      </c>
      <c r="V134" s="49"/>
      <c r="W134" s="49"/>
    </row>
    <row r="135" spans="1:24" x14ac:dyDescent="0.2">
      <c r="A135" s="21"/>
      <c r="B135" s="21">
        <v>125</v>
      </c>
      <c r="C135" s="45" t="s">
        <v>558</v>
      </c>
      <c r="D135" s="35">
        <f t="shared" si="6"/>
        <v>42744</v>
      </c>
      <c r="E135" s="36">
        <v>2017</v>
      </c>
      <c r="F135" s="36">
        <v>9</v>
      </c>
      <c r="G135" s="161">
        <v>0.875</v>
      </c>
      <c r="H135" s="392">
        <v>0.15</v>
      </c>
      <c r="I135" s="393">
        <v>0</v>
      </c>
      <c r="J135" s="164">
        <f t="shared" si="7"/>
        <v>42745</v>
      </c>
      <c r="K135" s="36">
        <v>2017</v>
      </c>
      <c r="L135" s="36">
        <v>10</v>
      </c>
      <c r="M135" s="37">
        <v>2.5000000000000001E-2</v>
      </c>
      <c r="N135" s="499" t="s">
        <v>307</v>
      </c>
      <c r="O135" s="367">
        <f>IF(VALUE(LEFT($R135,3))&lt;192,"",IF(VALUE(LEFT($R135,3))&gt;597,"",VLOOKUP(VALUE(LEFT($R135,3)),'CIRS Table Info'!$B$6:$J$425,2,FALSE)))</f>
        <v>15.67</v>
      </c>
      <c r="P135" s="497" t="s">
        <v>700</v>
      </c>
      <c r="Q135" s="171"/>
      <c r="R135" s="172">
        <f>VLOOKUP($C135,'CIRS Table IDs'!$B:$P,14,FALSE)</f>
        <v>192</v>
      </c>
      <c r="S135" s="410">
        <v>1361.979126</v>
      </c>
      <c r="T135" s="411">
        <v>99.743759999999995</v>
      </c>
      <c r="W135" s="49"/>
      <c r="X135" s="49"/>
    </row>
    <row r="136" spans="1:24" x14ac:dyDescent="0.2">
      <c r="A136" s="21"/>
      <c r="B136" s="21">
        <v>126</v>
      </c>
      <c r="C136" s="45" t="s">
        <v>559</v>
      </c>
      <c r="D136" s="35">
        <f t="shared" si="6"/>
        <v>42745</v>
      </c>
      <c r="E136" s="36">
        <v>2017</v>
      </c>
      <c r="F136" s="36">
        <v>10</v>
      </c>
      <c r="G136" s="161">
        <v>2.5000000000000001E-2</v>
      </c>
      <c r="H136" s="392">
        <v>2.7777777777777801E-2</v>
      </c>
      <c r="I136" s="393">
        <v>0</v>
      </c>
      <c r="J136" s="164">
        <f t="shared" si="7"/>
        <v>42745</v>
      </c>
      <c r="K136" s="36">
        <v>2017</v>
      </c>
      <c r="L136" s="36">
        <v>10</v>
      </c>
      <c r="M136" s="37">
        <v>5.2777777777777798E-2</v>
      </c>
      <c r="N136" s="499" t="s">
        <v>307</v>
      </c>
      <c r="O136" s="367">
        <f>IF(VALUE(LEFT($R136,3))&lt;192,"",IF(VALUE(LEFT($R136,3))&gt;597,"",VLOOKUP(VALUE(LEFT($R136,3)),'CIRS Table Info'!$B$6:$J$425,2,FALSE)))</f>
        <v>15.67</v>
      </c>
      <c r="P136" s="497" t="s">
        <v>700</v>
      </c>
      <c r="Q136" s="171"/>
      <c r="R136" s="172">
        <f>VLOOKUP($C136,'CIRS Table IDs'!$B:$P,14,FALSE)</f>
        <v>192</v>
      </c>
      <c r="S136" s="410">
        <v>1250.7742920000001</v>
      </c>
      <c r="T136" s="411">
        <v>99.755615000000006</v>
      </c>
      <c r="W136" s="49"/>
      <c r="X136" s="49"/>
    </row>
    <row r="137" spans="1:24" x14ac:dyDescent="0.2">
      <c r="A137" s="477">
        <v>33</v>
      </c>
      <c r="B137" s="477">
        <v>127</v>
      </c>
      <c r="C137" s="478" t="s">
        <v>560</v>
      </c>
      <c r="D137" s="479">
        <f t="shared" ref="D137:D168" si="8">DATE(E137,1,F137)</f>
        <v>42745</v>
      </c>
      <c r="E137" s="480">
        <v>2017</v>
      </c>
      <c r="F137" s="480">
        <v>10</v>
      </c>
      <c r="G137" s="481">
        <v>0.55138888888888904</v>
      </c>
      <c r="H137" s="482">
        <v>0.19687499999999999</v>
      </c>
      <c r="I137" s="483">
        <v>6.5625000000000003E-2</v>
      </c>
      <c r="J137" s="484">
        <f t="shared" si="7"/>
        <v>42745</v>
      </c>
      <c r="K137" s="480">
        <v>2017</v>
      </c>
      <c r="L137" s="480">
        <v>10</v>
      </c>
      <c r="M137" s="485">
        <v>0.81388888888888899</v>
      </c>
      <c r="N137" s="501">
        <v>3000</v>
      </c>
      <c r="O137" s="486" t="str">
        <f>IF(VALUE(LEFT($R137,3))&lt;192,"",IF(VALUE(LEFT($R137,3))&gt;597,"",VLOOKUP(VALUE(LEFT($R137,3)),'CIRS Table Info'!$B$6:$J$425,2,FALSE)))</f>
        <v/>
      </c>
      <c r="P137" s="498" t="str">
        <f>IF(MID(R137,5,3)="",IF(VALUE(LEFT($R137,3))&lt;192,"",IF(VALUE(LEFT($R137,3))&gt;597,"",CONCATENATE(VLOOKUP(VALUE(LEFT($R137,3)),'CIRS Table Info'!$B$6:$J$425,6,FALSE),"/",VLOOKUP(VALUE(LEFT($R137,3)),'CIRS Table Info'!$B$6:$J$425,8,FALSE),IF(VLOOKUP(VALUE(LEFT($R137,3)),'CIRS Table Info'!$B$6:$J$425,9,FALSE)="Closed","/CLOSED","")))),IF(VALUE(MID($R137,5,3))&lt;192,"",IF(VALUE(MID($R137,5,3))&gt;597,"",CONCATENATE(VLOOKUP(VALUE(MID($R137,5,3)),'CIRS Table Info'!$B$6:$J$425,6,FALSE),"/",VLOOKUP(VALUE(MID($R137,5,3)),'CIRS Table Info'!$B$6:$J$425,8,FALSE),IF(VLOOKUP(VALUE(MID($R137,5,3)),'CIRS Table Info'!$B$6:$J$425,9,FALSE)="Closed","/CLOSED","")))))</f>
        <v/>
      </c>
      <c r="Q137" s="487"/>
      <c r="R137" s="488">
        <f>VLOOKUP($C137,'CIRS Table IDs'!$B:$P,14,FALSE)</f>
        <v>876</v>
      </c>
      <c r="S137" s="489">
        <v>1821.920044</v>
      </c>
      <c r="T137" s="490">
        <v>77.585291999999995</v>
      </c>
    </row>
    <row r="138" spans="1:24" ht="15.75" x14ac:dyDescent="0.25">
      <c r="A138" s="526"/>
      <c r="B138" s="526">
        <v>128</v>
      </c>
      <c r="C138" s="527" t="s">
        <v>561</v>
      </c>
      <c r="D138" s="528">
        <f t="shared" si="8"/>
        <v>42745</v>
      </c>
      <c r="E138" s="529">
        <v>2017</v>
      </c>
      <c r="F138" s="529">
        <v>10</v>
      </c>
      <c r="G138" s="530">
        <v>0.83333333333333304</v>
      </c>
      <c r="H138" s="531">
        <v>0.19166666666666701</v>
      </c>
      <c r="I138" s="532">
        <v>0</v>
      </c>
      <c r="J138" s="533">
        <f t="shared" ref="J138:J169" si="9">DATE(K138,1,L138)</f>
        <v>42746</v>
      </c>
      <c r="K138" s="529">
        <v>2017</v>
      </c>
      <c r="L138" s="529">
        <v>11</v>
      </c>
      <c r="M138" s="534">
        <v>2.5000000000000001E-2</v>
      </c>
      <c r="N138" s="535" t="s">
        <v>307</v>
      </c>
      <c r="O138" s="536">
        <f>IF(VALUE(LEFT($R138,3))&lt;192,"",IF(VALUE(LEFT($R138,3))&gt;597,"",VLOOKUP(VALUE(LEFT($R138,3)),'CIRS Table Info'!$B$6:$J$425,2,FALSE)))</f>
        <v>15.67</v>
      </c>
      <c r="P138" s="537" t="s">
        <v>700</v>
      </c>
      <c r="Q138" s="538"/>
      <c r="R138" s="539">
        <f>VLOOKUP($C138,'CIRS Table IDs'!$B:$P,14,FALSE)</f>
        <v>192</v>
      </c>
      <c r="S138" s="540">
        <v>1390.6762699999999</v>
      </c>
      <c r="T138" s="411">
        <v>4.4802609999999996</v>
      </c>
    </row>
    <row r="139" spans="1:24" x14ac:dyDescent="0.2">
      <c r="A139" s="21"/>
      <c r="B139" s="21">
        <v>129</v>
      </c>
      <c r="C139" s="45" t="s">
        <v>562</v>
      </c>
      <c r="D139" s="35">
        <f t="shared" si="8"/>
        <v>42746</v>
      </c>
      <c r="E139" s="36">
        <v>2017</v>
      </c>
      <c r="F139" s="36">
        <v>11</v>
      </c>
      <c r="G139" s="161">
        <v>2.5000000000000001E-2</v>
      </c>
      <c r="H139" s="392">
        <v>6.25E-2</v>
      </c>
      <c r="I139" s="393">
        <v>0</v>
      </c>
      <c r="J139" s="164">
        <f t="shared" si="9"/>
        <v>42746</v>
      </c>
      <c r="K139" s="36">
        <v>2017</v>
      </c>
      <c r="L139" s="36">
        <v>11</v>
      </c>
      <c r="M139" s="37">
        <v>8.7499999999999994E-2</v>
      </c>
      <c r="N139" s="499" t="s">
        <v>307</v>
      </c>
      <c r="O139" s="367">
        <f>IF(VALUE(LEFT($R139,3))&lt;192,"",IF(VALUE(LEFT($R139,3))&gt;597,"",VLOOKUP(VALUE(LEFT($R139,3)),'CIRS Table Info'!$B$6:$J$425,2,FALSE)))</f>
        <v>0.53</v>
      </c>
      <c r="P139" s="497" t="str">
        <f>IF(MID(R139,5,3)="",IF(VALUE(LEFT($R139,3))&lt;192,"",IF(VALUE(LEFT($R139,3))&gt;597,"",CONCATENATE(VLOOKUP(VALUE(LEFT($R139,3)),'CIRS Table Info'!$B$6:$J$425,6,FALSE),"/",VLOOKUP(VALUE(LEFT($R139,3)),'CIRS Table Info'!$B$6:$J$425,8,FALSE),IF(VLOOKUP(VALUE(LEFT($R139,3)),'CIRS Table Info'!$B$6:$J$425,9,FALSE)="Closed","/CLOSED","")))),IF(VALUE(MID($R139,5,3))&lt;192,"",IF(VALUE(MID($R139,5,3))&gt;597,"",CONCATENATE(VLOOKUP(VALUE(MID($R139,5,3)),'CIRS Table Info'!$B$6:$J$425,6,FALSE),"/",VLOOKUP(VALUE(MID($R139,5,3)),'CIRS Table Info'!$B$6:$J$425,8,FALSE),IF(VLOOKUP(VALUE(MID($R139,5,3)),'CIRS Table Info'!$B$6:$J$425,9,FALSE)="Closed","/CLOSED","")))))</f>
        <v>Blink/Blink</v>
      </c>
      <c r="Q139" s="171"/>
      <c r="R139" s="172">
        <f>VLOOKUP($C139,'CIRS Table IDs'!$B:$P,14,FALSE)</f>
        <v>341</v>
      </c>
      <c r="S139" s="410">
        <v>1356.9323730000001</v>
      </c>
      <c r="T139" s="411">
        <v>97.063260999999997</v>
      </c>
      <c r="V139" s="49"/>
      <c r="W139" s="49"/>
    </row>
    <row r="140" spans="1:24" x14ac:dyDescent="0.2">
      <c r="A140" s="21"/>
      <c r="B140" s="21">
        <v>130</v>
      </c>
      <c r="C140" s="45" t="s">
        <v>563</v>
      </c>
      <c r="D140" s="35">
        <f t="shared" si="8"/>
        <v>42746</v>
      </c>
      <c r="E140" s="36">
        <v>2017</v>
      </c>
      <c r="F140" s="36">
        <v>11</v>
      </c>
      <c r="G140" s="161">
        <v>8.7499999999999994E-2</v>
      </c>
      <c r="H140" s="392">
        <v>0.33194444444444399</v>
      </c>
      <c r="I140" s="393">
        <v>0</v>
      </c>
      <c r="J140" s="164">
        <f t="shared" si="9"/>
        <v>42746</v>
      </c>
      <c r="K140" s="36">
        <v>2017</v>
      </c>
      <c r="L140" s="36">
        <v>11</v>
      </c>
      <c r="M140" s="37">
        <v>0.41944444444444401</v>
      </c>
      <c r="N140" s="499" t="s">
        <v>307</v>
      </c>
      <c r="O140" s="367">
        <f>IF(VALUE(LEFT($R140,3))&lt;192,"",IF(VALUE(LEFT($R140,3))&gt;597,"",VLOOKUP(VALUE(LEFT($R140,3)),'CIRS Table Info'!$B$6:$J$425,2,FALSE)))</f>
        <v>15.67</v>
      </c>
      <c r="P140" s="497" t="s">
        <v>700</v>
      </c>
      <c r="Q140" s="171"/>
      <c r="R140" s="172">
        <f>VLOOKUP($C140,'CIRS Table IDs'!$B:$P,14,FALSE)</f>
        <v>192</v>
      </c>
      <c r="S140" s="410">
        <v>1257.228149</v>
      </c>
      <c r="T140" s="411">
        <v>100</v>
      </c>
    </row>
    <row r="141" spans="1:24" x14ac:dyDescent="0.2">
      <c r="A141" s="477">
        <v>34</v>
      </c>
      <c r="B141" s="477">
        <v>131</v>
      </c>
      <c r="C141" s="478" t="s">
        <v>564</v>
      </c>
      <c r="D141" s="479">
        <f t="shared" si="8"/>
        <v>42746</v>
      </c>
      <c r="E141" s="480">
        <v>2017</v>
      </c>
      <c r="F141" s="480">
        <v>11</v>
      </c>
      <c r="G141" s="481">
        <v>0.55138888888888904</v>
      </c>
      <c r="H141" s="482">
        <v>0.122415972222222</v>
      </c>
      <c r="I141" s="483">
        <v>0.17688958333333399</v>
      </c>
      <c r="J141" s="484">
        <f t="shared" si="9"/>
        <v>42746</v>
      </c>
      <c r="K141" s="480">
        <v>2017</v>
      </c>
      <c r="L141" s="480">
        <v>11</v>
      </c>
      <c r="M141" s="485">
        <v>0.85069444444444497</v>
      </c>
      <c r="N141" s="501">
        <v>1636</v>
      </c>
      <c r="O141" s="486" t="str">
        <f>IF(VALUE(LEFT($R141,3))&lt;192,"",IF(VALUE(LEFT($R141,3))&gt;597,"",VLOOKUP(VALUE(LEFT($R141,3)),'CIRS Table Info'!$B$6:$J$425,2,FALSE)))</f>
        <v/>
      </c>
      <c r="P141" s="498" t="str">
        <f>IF(MID(R141,5,3)="",IF(VALUE(LEFT($R141,3))&lt;192,"",IF(VALUE(LEFT($R141,3))&gt;597,"",CONCATENATE(VLOOKUP(VALUE(LEFT($R141,3)),'CIRS Table Info'!$B$6:$J$425,6,FALSE),"/",VLOOKUP(VALUE(LEFT($R141,3)),'CIRS Table Info'!$B$6:$J$425,8,FALSE),IF(VLOOKUP(VALUE(LEFT($R141,3)),'CIRS Table Info'!$B$6:$J$425,9,FALSE)="Closed","/CLOSED","")))),IF(VALUE(MID($R141,5,3))&lt;192,"",IF(VALUE(MID($R141,5,3))&gt;597,"",CONCATENATE(VLOOKUP(VALUE(MID($R141,5,3)),'CIRS Table Info'!$B$6:$J$425,6,FALSE),"/",VLOOKUP(VALUE(MID($R141,5,3)),'CIRS Table Info'!$B$6:$J$425,8,FALSE),IF(VLOOKUP(VALUE(MID($R141,5,3)),'CIRS Table Info'!$B$6:$J$425,9,FALSE)="Closed","/CLOSED","")))))</f>
        <v/>
      </c>
      <c r="Q141" s="487"/>
      <c r="R141" s="488">
        <f>VLOOKUP($C141,'CIRS Table IDs'!$B:$P,14,FALSE)</f>
        <v>880</v>
      </c>
      <c r="S141" s="489">
        <v>1823.491943</v>
      </c>
      <c r="T141" s="490">
        <v>69.652051</v>
      </c>
      <c r="V141" s="49"/>
      <c r="W141" s="49"/>
    </row>
    <row r="142" spans="1:24" x14ac:dyDescent="0.2">
      <c r="A142" s="21"/>
      <c r="B142" s="21">
        <v>132</v>
      </c>
      <c r="C142" s="45" t="s">
        <v>565</v>
      </c>
      <c r="D142" s="35">
        <f t="shared" si="8"/>
        <v>42746</v>
      </c>
      <c r="E142" s="36">
        <v>2017</v>
      </c>
      <c r="F142" s="36">
        <v>11</v>
      </c>
      <c r="G142" s="161">
        <v>0.87847222222222199</v>
      </c>
      <c r="H142" s="392">
        <v>6.25E-2</v>
      </c>
      <c r="I142" s="393">
        <v>0</v>
      </c>
      <c r="J142" s="164">
        <f t="shared" si="9"/>
        <v>42746</v>
      </c>
      <c r="K142" s="36">
        <v>2017</v>
      </c>
      <c r="L142" s="36">
        <v>11</v>
      </c>
      <c r="M142" s="37">
        <v>0.94097222222222199</v>
      </c>
      <c r="N142" s="499" t="s">
        <v>307</v>
      </c>
      <c r="O142" s="367">
        <f>IF(VALUE(LEFT($R142,3))&lt;192,"",IF(VALUE(LEFT($R142,3))&gt;597,"",VLOOKUP(VALUE(LEFT($R142,3)),'CIRS Table Info'!$B$6:$J$425,2,FALSE)))</f>
        <v>0.53</v>
      </c>
      <c r="P142" s="497" t="str">
        <f>IF(MID(R142,5,3)="",IF(VALUE(LEFT($R142,3))&lt;192,"",IF(VALUE(LEFT($R142,3))&gt;597,"",CONCATENATE(VLOOKUP(VALUE(LEFT($R142,3)),'CIRS Table Info'!$B$6:$J$425,6,FALSE),"/",VLOOKUP(VALUE(LEFT($R142,3)),'CIRS Table Info'!$B$6:$J$425,8,FALSE),IF(VLOOKUP(VALUE(LEFT($R142,3)),'CIRS Table Info'!$B$6:$J$425,9,FALSE)="Closed","/CLOSED","")))),IF(VALUE(MID($R142,5,3))&lt;192,"",IF(VALUE(MID($R142,5,3))&gt;597,"",CONCATENATE(VLOOKUP(VALUE(MID($R142,5,3)),'CIRS Table Info'!$B$6:$J$425,6,FALSE),"/",VLOOKUP(VALUE(MID($R142,5,3)),'CIRS Table Info'!$B$6:$J$425,8,FALSE),IF(VLOOKUP(VALUE(MID($R142,5,3)),'CIRS Table Info'!$B$6:$J$425,9,FALSE)="Closed","/CLOSED","")))))</f>
        <v>Blink/Blink</v>
      </c>
      <c r="Q142" s="171"/>
      <c r="R142" s="172">
        <f>VLOOKUP($C142,'CIRS Table IDs'!$B:$P,14,FALSE)</f>
        <v>341</v>
      </c>
      <c r="S142" s="410">
        <v>1547.3858640000001</v>
      </c>
      <c r="T142" s="411">
        <v>83.289676999999998</v>
      </c>
    </row>
    <row r="143" spans="1:24" x14ac:dyDescent="0.2">
      <c r="A143" s="21"/>
      <c r="B143" s="21">
        <v>133</v>
      </c>
      <c r="C143" s="45" t="s">
        <v>566</v>
      </c>
      <c r="D143" s="35">
        <f t="shared" si="8"/>
        <v>42746</v>
      </c>
      <c r="E143" s="36">
        <v>2017</v>
      </c>
      <c r="F143" s="36">
        <v>11</v>
      </c>
      <c r="G143" s="161">
        <v>0.94097222222222199</v>
      </c>
      <c r="H143" s="392">
        <v>0.72361111111111098</v>
      </c>
      <c r="I143" s="393">
        <v>0</v>
      </c>
      <c r="J143" s="164">
        <f t="shared" si="9"/>
        <v>42747</v>
      </c>
      <c r="K143" s="36">
        <v>2017</v>
      </c>
      <c r="L143" s="36">
        <v>12</v>
      </c>
      <c r="M143" s="37">
        <v>0.66458333333333297</v>
      </c>
      <c r="N143" s="499" t="s">
        <v>308</v>
      </c>
      <c r="O143" s="367">
        <f>IF(VALUE(LEFT($R143,3))&lt;192,"",IF(VALUE(LEFT($R143,3))&gt;597,"",VLOOKUP(VALUE(LEFT($R143,3)),'CIRS Table Info'!$B$6:$J$425,2,FALSE)))</f>
        <v>2.85</v>
      </c>
      <c r="P143" s="497" t="str">
        <f>IF(MID(R143,5,3)="",IF(VALUE(LEFT($R143,3))&lt;192,"",IF(VALUE(LEFT($R143,3))&gt;597,"",CONCATENATE(VLOOKUP(VALUE(LEFT($R143,3)),'CIRS Table Info'!$B$6:$J$425,6,FALSE),"/",VLOOKUP(VALUE(LEFT($R143,3)),'CIRS Table Info'!$B$6:$J$425,8,FALSE),IF(VLOOKUP(VALUE(LEFT($R143,3)),'CIRS Table Info'!$B$6:$J$425,9,FALSE)="Closed","/CLOSED","")))),IF(VALUE(MID($R143,5,3))&lt;192,"",IF(VALUE(MID($R143,5,3))&gt;597,"",CONCATENATE(VLOOKUP(VALUE(MID($R143,5,3)),'CIRS Table Info'!$B$6:$J$425,6,FALSE),"/",VLOOKUP(VALUE(MID($R143,5,3)),'CIRS Table Info'!$B$6:$J$425,8,FALSE),IF(VLOOKUP(VALUE(MID($R143,5,3)),'CIRS Table Info'!$B$6:$J$425,9,FALSE)="Closed","/CLOSED","")))))</f>
        <v>Pairs/Pairs</v>
      </c>
      <c r="Q143" s="171"/>
      <c r="R143" s="172">
        <f>VLOOKUP($C143,'CIRS Table IDs'!$B:$P,14,FALSE)</f>
        <v>572</v>
      </c>
      <c r="S143" s="410">
        <v>1120.4366460000001</v>
      </c>
      <c r="T143" s="411">
        <v>100</v>
      </c>
    </row>
    <row r="144" spans="1:24" x14ac:dyDescent="0.2">
      <c r="A144" s="477">
        <v>35</v>
      </c>
      <c r="B144" s="477">
        <v>134</v>
      </c>
      <c r="C144" s="478" t="s">
        <v>567</v>
      </c>
      <c r="D144" s="479">
        <f t="shared" si="8"/>
        <v>42747</v>
      </c>
      <c r="E144" s="480">
        <v>2017</v>
      </c>
      <c r="F144" s="480">
        <v>12</v>
      </c>
      <c r="G144" s="481">
        <v>0.79652777777777795</v>
      </c>
      <c r="H144" s="482">
        <v>0.25</v>
      </c>
      <c r="I144" s="483">
        <v>8.3333333333333301E-2</v>
      </c>
      <c r="J144" s="484">
        <f t="shared" si="9"/>
        <v>42748</v>
      </c>
      <c r="K144" s="480">
        <v>2017</v>
      </c>
      <c r="L144" s="480">
        <v>13</v>
      </c>
      <c r="M144" s="485">
        <v>0.12986111111111101</v>
      </c>
      <c r="N144" s="501">
        <v>3000</v>
      </c>
      <c r="O144" s="486" t="str">
        <f>IF(VALUE(LEFT($R144,3))&lt;192,"",IF(VALUE(LEFT($R144,3))&gt;597,"",VLOOKUP(VALUE(LEFT($R144,3)),'CIRS Table Info'!$B$6:$J$425,2,FALSE)))</f>
        <v/>
      </c>
      <c r="P144" s="498" t="str">
        <f>IF(MID(R144,5,3)="",IF(VALUE(LEFT($R144,3))&lt;192,"",IF(VALUE(LEFT($R144,3))&gt;597,"",CONCATENATE(VLOOKUP(VALUE(LEFT($R144,3)),'CIRS Table Info'!$B$6:$J$425,6,FALSE),"/",VLOOKUP(VALUE(LEFT($R144,3)),'CIRS Table Info'!$B$6:$J$425,8,FALSE),IF(VLOOKUP(VALUE(LEFT($R144,3)),'CIRS Table Info'!$B$6:$J$425,9,FALSE)="Closed","/CLOSED","")))),IF(VALUE(MID($R144,5,3))&lt;192,"",IF(VALUE(MID($R144,5,3))&gt;597,"",CONCATENATE(VLOOKUP(VALUE(MID($R144,5,3)),'CIRS Table Info'!$B$6:$J$425,6,FALSE),"/",VLOOKUP(VALUE(MID($R144,5,3)),'CIRS Table Info'!$B$6:$J$425,8,FALSE),IF(VLOOKUP(VALUE(MID($R144,5,3)),'CIRS Table Info'!$B$6:$J$425,9,FALSE)="Closed","/CLOSED","")))))</f>
        <v/>
      </c>
      <c r="Q144" s="487"/>
      <c r="R144" s="488">
        <f>VLOOKUP($C144,'CIRS Table IDs'!$B:$P,14,FALSE)</f>
        <v>883</v>
      </c>
      <c r="S144" s="489">
        <v>1240.455811</v>
      </c>
      <c r="T144" s="490">
        <v>100</v>
      </c>
    </row>
    <row r="145" spans="1:24" x14ac:dyDescent="0.2">
      <c r="A145" s="21"/>
      <c r="B145" s="21">
        <v>135</v>
      </c>
      <c r="C145" s="45" t="s">
        <v>568</v>
      </c>
      <c r="D145" s="35">
        <f t="shared" si="8"/>
        <v>42748</v>
      </c>
      <c r="E145" s="36">
        <v>2017</v>
      </c>
      <c r="F145" s="36">
        <v>13</v>
      </c>
      <c r="G145" s="161">
        <v>0.15763888888888899</v>
      </c>
      <c r="H145" s="392">
        <v>6.25E-2</v>
      </c>
      <c r="I145" s="393">
        <v>0</v>
      </c>
      <c r="J145" s="164">
        <f t="shared" si="9"/>
        <v>42748</v>
      </c>
      <c r="K145" s="36">
        <v>2017</v>
      </c>
      <c r="L145" s="36">
        <v>13</v>
      </c>
      <c r="M145" s="37">
        <v>0.22013888888888899</v>
      </c>
      <c r="N145" s="499" t="s">
        <v>307</v>
      </c>
      <c r="O145" s="367">
        <f>IF(VALUE(LEFT($R145,3))&lt;192,"",IF(VALUE(LEFT($R145,3))&gt;597,"",VLOOKUP(VALUE(LEFT($R145,3)),'CIRS Table Info'!$B$6:$J$425,2,FALSE)))</f>
        <v>0.53</v>
      </c>
      <c r="P145" s="497" t="str">
        <f>IF(MID(R145,5,3)="",IF(VALUE(LEFT($R145,3))&lt;192,"",IF(VALUE(LEFT($R145,3))&gt;597,"",CONCATENATE(VLOOKUP(VALUE(LEFT($R145,3)),'CIRS Table Info'!$B$6:$J$425,6,FALSE),"/",VLOOKUP(VALUE(LEFT($R145,3)),'CIRS Table Info'!$B$6:$J$425,8,FALSE),IF(VLOOKUP(VALUE(LEFT($R145,3)),'CIRS Table Info'!$B$6:$J$425,9,FALSE)="Closed","/CLOSED","")))),IF(VALUE(MID($R145,5,3))&lt;192,"",IF(VALUE(MID($R145,5,3))&gt;597,"",CONCATENATE(VLOOKUP(VALUE(MID($R145,5,3)),'CIRS Table Info'!$B$6:$J$425,6,FALSE),"/",VLOOKUP(VALUE(MID($R145,5,3)),'CIRS Table Info'!$B$6:$J$425,8,FALSE),IF(VLOOKUP(VALUE(MID($R145,5,3)),'CIRS Table Info'!$B$6:$J$425,9,FALSE)="Closed","/CLOSED","")))))</f>
        <v>Blink/Blink</v>
      </c>
      <c r="Q145" s="171"/>
      <c r="R145" s="172">
        <f>VLOOKUP($C145,'CIRS Table IDs'!$B:$P,14,FALSE)</f>
        <v>341</v>
      </c>
      <c r="S145" s="410">
        <v>1814.5545649999999</v>
      </c>
      <c r="T145" s="411">
        <v>94.004434000000003</v>
      </c>
      <c r="V145" s="49"/>
      <c r="W145" s="49"/>
    </row>
    <row r="146" spans="1:24" x14ac:dyDescent="0.2">
      <c r="A146" s="21"/>
      <c r="B146" s="21">
        <v>136</v>
      </c>
      <c r="C146" s="45" t="s">
        <v>569</v>
      </c>
      <c r="D146" s="35">
        <f t="shared" si="8"/>
        <v>42748</v>
      </c>
      <c r="E146" s="36">
        <v>2017</v>
      </c>
      <c r="F146" s="36">
        <v>13</v>
      </c>
      <c r="G146" s="161">
        <v>0.28958333333333303</v>
      </c>
      <c r="H146" s="392">
        <v>0.36944444444444402</v>
      </c>
      <c r="I146" s="393">
        <v>0</v>
      </c>
      <c r="J146" s="164">
        <f t="shared" si="9"/>
        <v>42748</v>
      </c>
      <c r="K146" s="36">
        <v>2017</v>
      </c>
      <c r="L146" s="36">
        <v>13</v>
      </c>
      <c r="M146" s="37">
        <v>0.65902777777777799</v>
      </c>
      <c r="N146" s="499" t="s">
        <v>308</v>
      </c>
      <c r="O146" s="367">
        <f>IF(VALUE(LEFT($R146,3))&lt;192,"",IF(VALUE(LEFT($R146,3))&gt;597,"",VLOOKUP(VALUE(LEFT($R146,3)),'CIRS Table Info'!$B$6:$J$425,2,FALSE)))</f>
        <v>0.53</v>
      </c>
      <c r="P146" s="497" t="str">
        <f>IF(MID(R146,5,3)="",IF(VALUE(LEFT($R146,3))&lt;192,"",IF(VALUE(LEFT($R146,3))&gt;597,"",CONCATENATE(VLOOKUP(VALUE(LEFT($R146,3)),'CIRS Table Info'!$B$6:$J$425,6,FALSE),"/",VLOOKUP(VALUE(LEFT($R146,3)),'CIRS Table Info'!$B$6:$J$425,8,FALSE),IF(VLOOKUP(VALUE(LEFT($R146,3)),'CIRS Table Info'!$B$6:$J$425,9,FALSE)="Closed","/CLOSED","")))),IF(VALUE(MID($R146,5,3))&lt;192,"",IF(VALUE(MID($R146,5,3))&gt;597,"",CONCATENATE(VLOOKUP(VALUE(MID($R146,5,3)),'CIRS Table Info'!$B$6:$J$425,6,FALSE),"/",VLOOKUP(VALUE(MID($R146,5,3)),'CIRS Table Info'!$B$6:$J$425,8,FALSE),IF(VLOOKUP(VALUE(MID($R146,5,3)),'CIRS Table Info'!$B$6:$J$425,9,FALSE)="Closed","/CLOSED","")))))</f>
        <v>Pairs/Pairs</v>
      </c>
      <c r="Q146" s="171"/>
      <c r="R146" s="172" t="str">
        <f>VLOOKUP($C146,'CIRS Table IDs'!$B:$P,14,FALSE)</f>
        <v>297,294,297</v>
      </c>
      <c r="S146" s="410">
        <v>1541.8156739999999</v>
      </c>
      <c r="T146" s="411">
        <v>99.453878000000003</v>
      </c>
      <c r="V146" s="49"/>
      <c r="W146" s="49"/>
      <c r="X146" s="49"/>
    </row>
    <row r="147" spans="1:24" x14ac:dyDescent="0.2">
      <c r="A147" s="477">
        <v>36</v>
      </c>
      <c r="B147" s="477">
        <v>137</v>
      </c>
      <c r="C147" s="478" t="s">
        <v>570</v>
      </c>
      <c r="D147" s="479">
        <f t="shared" si="8"/>
        <v>42748</v>
      </c>
      <c r="E147" s="480">
        <v>2017</v>
      </c>
      <c r="F147" s="480">
        <v>13</v>
      </c>
      <c r="G147" s="481">
        <v>0.79097222222222197</v>
      </c>
      <c r="H147" s="482">
        <v>0.25</v>
      </c>
      <c r="I147" s="483">
        <v>8.3333333333333301E-2</v>
      </c>
      <c r="J147" s="484">
        <f t="shared" si="9"/>
        <v>42749</v>
      </c>
      <c r="K147" s="480">
        <v>2017</v>
      </c>
      <c r="L147" s="480">
        <v>14</v>
      </c>
      <c r="M147" s="485">
        <v>0.124305555555556</v>
      </c>
      <c r="N147" s="501">
        <v>3000</v>
      </c>
      <c r="O147" s="486" t="str">
        <f>IF(VALUE(LEFT($R147,3))&lt;192,"",IF(VALUE(LEFT($R147,3))&gt;597,"",VLOOKUP(VALUE(LEFT($R147,3)),'CIRS Table Info'!$B$6:$J$425,2,FALSE)))</f>
        <v/>
      </c>
      <c r="P147" s="498" t="str">
        <f>IF(MID(R147,5,3)="",IF(VALUE(LEFT($R147,3))&lt;192,"",IF(VALUE(LEFT($R147,3))&gt;597,"",CONCATENATE(VLOOKUP(VALUE(LEFT($R147,3)),'CIRS Table Info'!$B$6:$J$425,6,FALSE),"/",VLOOKUP(VALUE(LEFT($R147,3)),'CIRS Table Info'!$B$6:$J$425,8,FALSE),IF(VLOOKUP(VALUE(LEFT($R147,3)),'CIRS Table Info'!$B$6:$J$425,9,FALSE)="Closed","/CLOSED","")))),IF(VALUE(MID($R147,5,3))&lt;192,"",IF(VALUE(MID($R147,5,3))&gt;597,"",CONCATENATE(VLOOKUP(VALUE(MID($R147,5,3)),'CIRS Table Info'!$B$6:$J$425,6,FALSE),"/",VLOOKUP(VALUE(MID($R147,5,3)),'CIRS Table Info'!$B$6:$J$425,8,FALSE),IF(VLOOKUP(VALUE(MID($R147,5,3)),'CIRS Table Info'!$B$6:$J$425,9,FALSE)="Closed","/CLOSED","")))))</f>
        <v/>
      </c>
      <c r="Q147" s="487"/>
      <c r="R147" s="488">
        <f>VLOOKUP($C147,'CIRS Table IDs'!$B:$P,14,FALSE)</f>
        <v>886</v>
      </c>
      <c r="S147" s="489">
        <v>1245.700439</v>
      </c>
      <c r="T147" s="490">
        <v>100</v>
      </c>
    </row>
    <row r="148" spans="1:24" ht="15.75" x14ac:dyDescent="0.25">
      <c r="A148" s="526"/>
      <c r="B148" s="526">
        <v>138</v>
      </c>
      <c r="C148" s="527" t="s">
        <v>571</v>
      </c>
      <c r="D148" s="528">
        <f t="shared" si="8"/>
        <v>42749</v>
      </c>
      <c r="E148" s="529">
        <v>2017</v>
      </c>
      <c r="F148" s="529">
        <v>14</v>
      </c>
      <c r="G148" s="530">
        <v>0.21458333333333299</v>
      </c>
      <c r="H148" s="531">
        <v>0.23680555555555599</v>
      </c>
      <c r="I148" s="532">
        <v>0</v>
      </c>
      <c r="J148" s="533">
        <f t="shared" si="9"/>
        <v>42749</v>
      </c>
      <c r="K148" s="529">
        <v>2017</v>
      </c>
      <c r="L148" s="529">
        <v>14</v>
      </c>
      <c r="M148" s="534">
        <v>0.45138888888888901</v>
      </c>
      <c r="N148" s="535" t="s">
        <v>308</v>
      </c>
      <c r="O148" s="536">
        <f>IF(VALUE(LEFT($R148,3))&lt;192,"",IF(VALUE(LEFT($R148,3))&gt;597,"",VLOOKUP(VALUE(LEFT($R148,3)),'CIRS Table Info'!$B$6:$J$425,2,FALSE)))</f>
        <v>2.85</v>
      </c>
      <c r="P148" s="537" t="str">
        <f>IF(MID(R148,5,3)="",IF(VALUE(LEFT($R148,3))&lt;192,"",IF(VALUE(LEFT($R148,3))&gt;597,"",CONCATENATE(VLOOKUP(VALUE(LEFT($R148,3)),'CIRS Table Info'!$B$6:$J$425,6,FALSE),"/",VLOOKUP(VALUE(LEFT($R148,3)),'CIRS Table Info'!$B$6:$J$425,8,FALSE),IF(VLOOKUP(VALUE(LEFT($R148,3)),'CIRS Table Info'!$B$6:$J$425,9,FALSE)="Closed","/CLOSED","")))),IF(VALUE(MID($R148,5,3))&lt;192,"",IF(VALUE(MID($R148,5,3))&gt;597,"",CONCATENATE(VLOOKUP(VALUE(MID($R148,5,3)),'CIRS Table Info'!$B$6:$J$425,6,FALSE),"/",VLOOKUP(VALUE(MID($R148,5,3)),'CIRS Table Info'!$B$6:$J$425,8,FALSE),IF(VLOOKUP(VALUE(MID($R148,5,3)),'CIRS Table Info'!$B$6:$J$425,9,FALSE)="Closed","/CLOSED","")))))</f>
        <v>Pairs/Pairs</v>
      </c>
      <c r="Q148" s="538"/>
      <c r="R148" s="539">
        <f>VLOOKUP($C148,'CIRS Table IDs'!$B:$P,14,FALSE)</f>
        <v>572</v>
      </c>
      <c r="S148" s="540">
        <v>1384.1450199999999</v>
      </c>
      <c r="T148" s="411">
        <v>40.325454000000001</v>
      </c>
    </row>
    <row r="149" spans="1:24" ht="15.75" x14ac:dyDescent="0.25">
      <c r="A149" s="526"/>
      <c r="B149" s="526">
        <v>139</v>
      </c>
      <c r="C149" s="527" t="s">
        <v>572</v>
      </c>
      <c r="D149" s="528">
        <f t="shared" si="8"/>
        <v>42749</v>
      </c>
      <c r="E149" s="529">
        <v>2017</v>
      </c>
      <c r="F149" s="529">
        <v>14</v>
      </c>
      <c r="G149" s="530">
        <v>0.45138888888888901</v>
      </c>
      <c r="H149" s="531">
        <v>0.25</v>
      </c>
      <c r="I149" s="532">
        <v>0</v>
      </c>
      <c r="J149" s="533">
        <f t="shared" si="9"/>
        <v>42749</v>
      </c>
      <c r="K149" s="529">
        <v>2017</v>
      </c>
      <c r="L149" s="529">
        <v>14</v>
      </c>
      <c r="M149" s="534">
        <v>0.70138888888888895</v>
      </c>
      <c r="N149" s="535" t="s">
        <v>308</v>
      </c>
      <c r="O149" s="536">
        <f>IF(VALUE(LEFT($R149,3))&lt;192,"",IF(VALUE(LEFT($R149,3))&gt;597,"",VLOOKUP(VALUE(LEFT($R149,3)),'CIRS Table Info'!$B$6:$J$425,2,FALSE)))</f>
        <v>0.53</v>
      </c>
      <c r="P149" s="537" t="str">
        <f>IF(MID(R149,5,3)="",IF(VALUE(LEFT($R149,3))&lt;192,"",IF(VALUE(LEFT($R149,3))&gt;597,"",CONCATENATE(VLOOKUP(VALUE(LEFT($R149,3)),'CIRS Table Info'!$B$6:$J$425,6,FALSE),"/",VLOOKUP(VALUE(LEFT($R149,3)),'CIRS Table Info'!$B$6:$J$425,8,FALSE),IF(VLOOKUP(VALUE(LEFT($R149,3)),'CIRS Table Info'!$B$6:$J$425,9,FALSE)="Closed","/CLOSED","")))),IF(VALUE(MID($R149,5,3))&lt;192,"",IF(VALUE(MID($R149,5,3))&gt;597,"",CONCATENATE(VLOOKUP(VALUE(MID($R149,5,3)),'CIRS Table Info'!$B$6:$J$425,6,FALSE),"/",VLOOKUP(VALUE(MID($R149,5,3)),'CIRS Table Info'!$B$6:$J$425,8,FALSE),IF(VLOOKUP(VALUE(MID($R149,5,3)),'CIRS Table Info'!$B$6:$J$425,9,FALSE)="Closed","/CLOSED","")))))</f>
        <v>Pairs/Pairs</v>
      </c>
      <c r="Q149" s="538"/>
      <c r="R149" s="539">
        <f>VLOOKUP($C149,'CIRS Table IDs'!$B:$P,14,FALSE)</f>
        <v>596</v>
      </c>
      <c r="S149" s="540">
        <v>1363.4968260000001</v>
      </c>
      <c r="T149" s="411">
        <v>27.998888000000001</v>
      </c>
    </row>
    <row r="150" spans="1:24" x14ac:dyDescent="0.2">
      <c r="A150" s="21"/>
      <c r="B150" s="21">
        <v>140</v>
      </c>
      <c r="C150" s="45" t="s">
        <v>573</v>
      </c>
      <c r="D150" s="35">
        <f t="shared" si="8"/>
        <v>42749</v>
      </c>
      <c r="E150" s="36">
        <v>2017</v>
      </c>
      <c r="F150" s="36">
        <v>14</v>
      </c>
      <c r="G150" s="161">
        <v>0.70138888888888895</v>
      </c>
      <c r="H150" s="392">
        <v>0.25</v>
      </c>
      <c r="I150" s="393">
        <v>0</v>
      </c>
      <c r="J150" s="164">
        <f t="shared" si="9"/>
        <v>42749</v>
      </c>
      <c r="K150" s="36">
        <v>2017</v>
      </c>
      <c r="L150" s="36">
        <v>14</v>
      </c>
      <c r="M150" s="37">
        <v>0.95138888888888895</v>
      </c>
      <c r="N150" s="499" t="s">
        <v>308</v>
      </c>
      <c r="O150" s="367">
        <f>IF(VALUE(LEFT($R150,3))&lt;192,"",IF(VALUE(LEFT($R150,3))&gt;597,"",VLOOKUP(VALUE(LEFT($R150,3)),'CIRS Table Info'!$B$6:$J$425,2,FALSE)))</f>
        <v>2.85</v>
      </c>
      <c r="P150" s="497" t="str">
        <f>IF(MID(R150,5,3)="",IF(VALUE(LEFT($R150,3))&lt;192,"",IF(VALUE(LEFT($R150,3))&gt;597,"",CONCATENATE(VLOOKUP(VALUE(LEFT($R150,3)),'CIRS Table Info'!$B$6:$J$425,6,FALSE),"/",VLOOKUP(VALUE(LEFT($R150,3)),'CIRS Table Info'!$B$6:$J$425,8,FALSE),IF(VLOOKUP(VALUE(LEFT($R150,3)),'CIRS Table Info'!$B$6:$J$425,9,FALSE)="Closed","/CLOSED","")))),IF(VALUE(MID($R150,5,3))&lt;192,"",IF(VALUE(MID($R150,5,3))&gt;597,"",CONCATENATE(VLOOKUP(VALUE(MID($R150,5,3)),'CIRS Table Info'!$B$6:$J$425,6,FALSE),"/",VLOOKUP(VALUE(MID($R150,5,3)),'CIRS Table Info'!$B$6:$J$425,8,FALSE),IF(VLOOKUP(VALUE(MID($R150,5,3)),'CIRS Table Info'!$B$6:$J$425,9,FALSE)="Closed","/CLOSED","")))))</f>
        <v>Pairs/Pairs</v>
      </c>
      <c r="Q150" s="171"/>
      <c r="R150" s="172">
        <f>VLOOKUP($C150,'CIRS Table IDs'!$B:$P,14,FALSE)</f>
        <v>572</v>
      </c>
      <c r="S150" s="410">
        <v>1311.109741</v>
      </c>
      <c r="T150" s="411">
        <v>86.812376999999998</v>
      </c>
      <c r="W150" s="49"/>
      <c r="X150" s="49"/>
    </row>
    <row r="151" spans="1:24" x14ac:dyDescent="0.2">
      <c r="A151" s="21"/>
      <c r="B151" s="21">
        <v>141</v>
      </c>
      <c r="C151" s="45" t="s">
        <v>574</v>
      </c>
      <c r="D151" s="35">
        <f t="shared" si="8"/>
        <v>42749</v>
      </c>
      <c r="E151" s="36">
        <v>2017</v>
      </c>
      <c r="F151" s="36">
        <v>14</v>
      </c>
      <c r="G151" s="161">
        <v>0.95138888888888895</v>
      </c>
      <c r="H151" s="392">
        <v>0.45833333333333298</v>
      </c>
      <c r="I151" s="393">
        <v>0</v>
      </c>
      <c r="J151" s="164">
        <f t="shared" si="9"/>
        <v>42750</v>
      </c>
      <c r="K151" s="36">
        <v>2017</v>
      </c>
      <c r="L151" s="36">
        <v>15</v>
      </c>
      <c r="M151" s="37">
        <v>0.40972222222222199</v>
      </c>
      <c r="N151" s="499" t="s">
        <v>308</v>
      </c>
      <c r="O151" s="367">
        <f>IF(VALUE(LEFT($R151,3))&lt;192,"",IF(VALUE(LEFT($R151,3))&gt;597,"",VLOOKUP(VALUE(LEFT($R151,3)),'CIRS Table Info'!$B$6:$J$425,2,FALSE)))</f>
        <v>2.85</v>
      </c>
      <c r="P151" s="497" t="str">
        <f>IF(MID(R151,5,3)="",IF(VALUE(LEFT($R151,3))&lt;192,"",IF(VALUE(LEFT($R151,3))&gt;597,"",CONCATENATE(VLOOKUP(VALUE(LEFT($R151,3)),'CIRS Table Info'!$B$6:$J$425,6,FALSE),"/",VLOOKUP(VALUE(LEFT($R151,3)),'CIRS Table Info'!$B$6:$J$425,8,FALSE),IF(VLOOKUP(VALUE(LEFT($R151,3)),'CIRS Table Info'!$B$6:$J$425,9,FALSE)="Closed","/CLOSED","")))),IF(VALUE(MID($R151,5,3))&lt;192,"",IF(VALUE(MID($R151,5,3))&gt;597,"",CONCATENATE(VLOOKUP(VALUE(MID($R151,5,3)),'CIRS Table Info'!$B$6:$J$425,6,FALSE),"/",VLOOKUP(VALUE(MID($R151,5,3)),'CIRS Table Info'!$B$6:$J$425,8,FALSE),IF(VLOOKUP(VALUE(MID($R151,5,3)),'CIRS Table Info'!$B$6:$J$425,9,FALSE)="Closed","/CLOSED","")))))</f>
        <v>Pairs/Pairs</v>
      </c>
      <c r="Q151" s="171"/>
      <c r="R151" s="172">
        <f>VLOOKUP($C151,'CIRS Table IDs'!$B:$P,14,FALSE)</f>
        <v>572</v>
      </c>
      <c r="S151" s="410">
        <v>1327.1451420000001</v>
      </c>
      <c r="T151" s="411">
        <v>99.479842000000005</v>
      </c>
      <c r="V151" s="49"/>
      <c r="W151" s="49"/>
    </row>
    <row r="152" spans="1:24" x14ac:dyDescent="0.2">
      <c r="A152" s="477">
        <v>37</v>
      </c>
      <c r="B152" s="477">
        <v>142</v>
      </c>
      <c r="C152" s="478" t="s">
        <v>575</v>
      </c>
      <c r="D152" s="479">
        <f t="shared" si="8"/>
        <v>42750</v>
      </c>
      <c r="E152" s="480">
        <v>2017</v>
      </c>
      <c r="F152" s="480">
        <v>15</v>
      </c>
      <c r="G152" s="481">
        <v>0.54166666666666696</v>
      </c>
      <c r="H152" s="482">
        <v>0.16041666666666701</v>
      </c>
      <c r="I152" s="483">
        <v>5.3472222222222303E-2</v>
      </c>
      <c r="J152" s="484">
        <f t="shared" si="9"/>
        <v>42750</v>
      </c>
      <c r="K152" s="480">
        <v>2017</v>
      </c>
      <c r="L152" s="480">
        <v>15</v>
      </c>
      <c r="M152" s="485">
        <v>0.75555555555555598</v>
      </c>
      <c r="N152" s="501">
        <v>3000</v>
      </c>
      <c r="O152" s="486" t="str">
        <f>IF(VALUE(LEFT($R152,3))&lt;192,"",IF(VALUE(LEFT($R152,3))&gt;597,"",VLOOKUP(VALUE(LEFT($R152,3)),'CIRS Table Info'!$B$6:$J$425,2,FALSE)))</f>
        <v/>
      </c>
      <c r="P152" s="498" t="str">
        <f>IF(MID(R152,5,3)="",IF(VALUE(LEFT($R152,3))&lt;192,"",IF(VALUE(LEFT($R152,3))&gt;597,"",CONCATENATE(VLOOKUP(VALUE(LEFT($R152,3)),'CIRS Table Info'!$B$6:$J$425,6,FALSE),"/",VLOOKUP(VALUE(LEFT($R152,3)),'CIRS Table Info'!$B$6:$J$425,8,FALSE),IF(VLOOKUP(VALUE(LEFT($R152,3)),'CIRS Table Info'!$B$6:$J$425,9,FALSE)="Closed","/CLOSED","")))),IF(VALUE(MID($R152,5,3))&lt;192,"",IF(VALUE(MID($R152,5,3))&gt;597,"",CONCATENATE(VLOOKUP(VALUE(MID($R152,5,3)),'CIRS Table Info'!$B$6:$J$425,6,FALSE),"/",VLOOKUP(VALUE(MID($R152,5,3)),'CIRS Table Info'!$B$6:$J$425,8,FALSE),IF(VLOOKUP(VALUE(MID($R152,5,3)),'CIRS Table Info'!$B$6:$J$425,9,FALSE)="Closed","/CLOSED","")))))</f>
        <v/>
      </c>
      <c r="Q152" s="487"/>
      <c r="R152" s="488">
        <f>VLOOKUP($C152,'CIRS Table IDs'!$B:$P,14,FALSE)</f>
        <v>891</v>
      </c>
      <c r="S152" s="489">
        <v>1816.6611330000001</v>
      </c>
      <c r="T152" s="490">
        <v>91.807145000000006</v>
      </c>
    </row>
    <row r="153" spans="1:24" x14ac:dyDescent="0.2">
      <c r="A153" s="21"/>
      <c r="B153" s="21">
        <v>143</v>
      </c>
      <c r="C153" s="45" t="s">
        <v>576</v>
      </c>
      <c r="D153" s="35">
        <f t="shared" si="8"/>
        <v>42751</v>
      </c>
      <c r="E153" s="36">
        <v>2017</v>
      </c>
      <c r="F153" s="36">
        <v>16</v>
      </c>
      <c r="G153" s="161">
        <v>6.5277777777777796E-2</v>
      </c>
      <c r="H153" s="392">
        <v>0.16597222222222199</v>
      </c>
      <c r="I153" s="393">
        <v>0</v>
      </c>
      <c r="J153" s="164">
        <f t="shared" si="9"/>
        <v>42751</v>
      </c>
      <c r="K153" s="36">
        <v>2017</v>
      </c>
      <c r="L153" s="36">
        <v>16</v>
      </c>
      <c r="M153" s="37">
        <v>0.23125000000000001</v>
      </c>
      <c r="N153" s="499" t="s">
        <v>308</v>
      </c>
      <c r="O153" s="367">
        <f>IF(VALUE(LEFT($R153,3))&lt;192,"",IF(VALUE(LEFT($R153,3))&gt;597,"",VLOOKUP(VALUE(LEFT($R153,3)),'CIRS Table Info'!$B$6:$J$425,2,FALSE)))</f>
        <v>2.85</v>
      </c>
      <c r="P153" s="497" t="str">
        <f>IF(MID(R153,5,3)="",IF(VALUE(LEFT($R153,3))&lt;192,"",IF(VALUE(LEFT($R153,3))&gt;597,"",CONCATENATE(VLOOKUP(VALUE(LEFT($R153,3)),'CIRS Table Info'!$B$6:$J$425,6,FALSE),"/",VLOOKUP(VALUE(LEFT($R153,3)),'CIRS Table Info'!$B$6:$J$425,8,FALSE),IF(VLOOKUP(VALUE(LEFT($R153,3)),'CIRS Table Info'!$B$6:$J$425,9,FALSE)="Closed","/CLOSED","")))),IF(VALUE(MID($R153,5,3))&lt;192,"",IF(VALUE(MID($R153,5,3))&gt;597,"",CONCATENATE(VLOOKUP(VALUE(MID($R153,5,3)),'CIRS Table Info'!$B$6:$J$425,6,FALSE),"/",VLOOKUP(VALUE(MID($R153,5,3)),'CIRS Table Info'!$B$6:$J$425,8,FALSE),IF(VLOOKUP(VALUE(MID($R153,5,3)),'CIRS Table Info'!$B$6:$J$425,9,FALSE)="Closed","/CLOSED","")))))</f>
        <v>Pairs/Pairs</v>
      </c>
      <c r="Q153" s="171"/>
      <c r="R153" s="172">
        <f>VLOOKUP($C153,'CIRS Table IDs'!$B:$P,14,FALSE)</f>
        <v>522</v>
      </c>
      <c r="S153" s="410">
        <v>1372.1561280000001</v>
      </c>
      <c r="T153" s="411">
        <v>85.269886</v>
      </c>
    </row>
    <row r="154" spans="1:24" x14ac:dyDescent="0.2">
      <c r="A154" s="21"/>
      <c r="B154" s="21">
        <v>144</v>
      </c>
      <c r="C154" s="45" t="s">
        <v>577</v>
      </c>
      <c r="D154" s="35">
        <f t="shared" si="8"/>
        <v>42751</v>
      </c>
      <c r="E154" s="36">
        <v>2017</v>
      </c>
      <c r="F154" s="36">
        <v>16</v>
      </c>
      <c r="G154" s="161">
        <v>0.23125000000000001</v>
      </c>
      <c r="H154" s="392">
        <v>0.25</v>
      </c>
      <c r="I154" s="393">
        <v>0</v>
      </c>
      <c r="J154" s="164">
        <f t="shared" si="9"/>
        <v>42751</v>
      </c>
      <c r="K154" s="36">
        <v>2017</v>
      </c>
      <c r="L154" s="36">
        <v>16</v>
      </c>
      <c r="M154" s="37">
        <v>0.48125000000000001</v>
      </c>
      <c r="N154" s="499" t="s">
        <v>307</v>
      </c>
      <c r="O154" s="367">
        <f>IF(VALUE(LEFT($R154,3))&lt;192,"",IF(VALUE(LEFT($R154,3))&gt;597,"",VLOOKUP(VALUE(LEFT($R154,3)),'CIRS Table Info'!$B$6:$J$425,2,FALSE)))</f>
        <v>15.67</v>
      </c>
      <c r="P154" s="497" t="str">
        <f>IF(MID(R154,5,3)="",IF(VALUE(LEFT($R154,3))&lt;192,"",IF(VALUE(LEFT($R154,3))&gt;597,"",CONCATENATE(VLOOKUP(VALUE(LEFT($R154,3)),'CIRS Table Info'!$B$6:$J$425,6,FALSE),"/",VLOOKUP(VALUE(LEFT($R154,3)),'CIRS Table Info'!$B$6:$J$425,8,FALSE),IF(VLOOKUP(VALUE(LEFT($R154,3)),'CIRS Table Info'!$B$6:$J$425,9,FALSE)="Closed","/CLOSED","")))),IF(VALUE(MID($R154,5,3))&lt;192,"",IF(VALUE(MID($R154,5,3))&gt;597,"",CONCATENATE(VLOOKUP(VALUE(MID($R154,5,3)),'CIRS Table Info'!$B$6:$J$425,6,FALSE),"/",VLOOKUP(VALUE(MID($R154,5,3)),'CIRS Table Info'!$B$6:$J$425,8,FALSE),IF(VLOOKUP(VALUE(MID($R154,5,3)),'CIRS Table Info'!$B$6:$J$425,9,FALSE)="Closed","/CLOSED","")))))</f>
        <v>Blink/Blink</v>
      </c>
      <c r="Q154" s="171"/>
      <c r="R154" s="172">
        <f>VLOOKUP($C154,'CIRS Table IDs'!$B:$P,14,FALSE)</f>
        <v>555</v>
      </c>
      <c r="S154" s="410">
        <v>1654.659058</v>
      </c>
      <c r="T154" s="411">
        <v>75.673866000000004</v>
      </c>
    </row>
    <row r="155" spans="1:24" x14ac:dyDescent="0.2">
      <c r="A155" s="21"/>
      <c r="B155" s="21">
        <v>145</v>
      </c>
      <c r="C155" s="45" t="s">
        <v>580</v>
      </c>
      <c r="D155" s="35">
        <f t="shared" si="8"/>
        <v>42751</v>
      </c>
      <c r="E155" s="36">
        <v>2017</v>
      </c>
      <c r="F155" s="36">
        <v>16</v>
      </c>
      <c r="G155" s="161">
        <v>0.48125000000000001</v>
      </c>
      <c r="H155" s="392">
        <v>0.104166666666667</v>
      </c>
      <c r="I155" s="393">
        <v>0</v>
      </c>
      <c r="J155" s="164">
        <f t="shared" si="9"/>
        <v>42751</v>
      </c>
      <c r="K155" s="36">
        <v>2017</v>
      </c>
      <c r="L155" s="36">
        <v>16</v>
      </c>
      <c r="M155" s="37">
        <v>0.58541666666666703</v>
      </c>
      <c r="N155" s="499" t="s">
        <v>307</v>
      </c>
      <c r="O155" s="367">
        <v>15.67</v>
      </c>
      <c r="P155" s="497" t="s">
        <v>680</v>
      </c>
      <c r="Q155" s="171"/>
      <c r="R155" s="172">
        <f>VLOOKUP($C155,'CIRS Table IDs'!$B:$P,14,FALSE)</f>
        <v>894</v>
      </c>
      <c r="S155" s="410">
        <v>1665.9470209999999</v>
      </c>
      <c r="T155" s="411">
        <v>50.891387000000002</v>
      </c>
    </row>
    <row r="156" spans="1:24" x14ac:dyDescent="0.2">
      <c r="A156" s="21"/>
      <c r="B156" s="21">
        <v>146</v>
      </c>
      <c r="C156" s="45" t="s">
        <v>582</v>
      </c>
      <c r="D156" s="35">
        <f t="shared" si="8"/>
        <v>42751</v>
      </c>
      <c r="E156" s="36">
        <v>2017</v>
      </c>
      <c r="F156" s="36">
        <v>16</v>
      </c>
      <c r="G156" s="161">
        <v>0.58541666666666703</v>
      </c>
      <c r="H156" s="392">
        <v>0.14444444444444399</v>
      </c>
      <c r="I156" s="393">
        <v>0</v>
      </c>
      <c r="J156" s="164">
        <f t="shared" si="9"/>
        <v>42751</v>
      </c>
      <c r="K156" s="36">
        <v>2017</v>
      </c>
      <c r="L156" s="36">
        <v>16</v>
      </c>
      <c r="M156" s="37">
        <v>0.72986111111111096</v>
      </c>
      <c r="N156" s="499" t="s">
        <v>308</v>
      </c>
      <c r="O156" s="367">
        <f>IF(VALUE(LEFT($R156,3))&lt;192,"",IF(VALUE(LEFT($R156,3))&gt;597,"",VLOOKUP(VALUE(LEFT($R156,3)),'CIRS Table Info'!$B$6:$J$425,2,FALSE)))</f>
        <v>2.85</v>
      </c>
      <c r="P156" s="497" t="str">
        <f>IF(MID(R156,5,3)="",IF(VALUE(LEFT($R156,3))&lt;192,"",IF(VALUE(LEFT($R156,3))&gt;597,"",CONCATENATE(VLOOKUP(VALUE(LEFT($R156,3)),'CIRS Table Info'!$B$6:$J$425,6,FALSE),"/",VLOOKUP(VALUE(LEFT($R156,3)),'CIRS Table Info'!$B$6:$J$425,8,FALSE),IF(VLOOKUP(VALUE(LEFT($R156,3)),'CIRS Table Info'!$B$6:$J$425,9,FALSE)="Closed","/CLOSED","")))),IF(VALUE(MID($R156,5,3))&lt;192,"",IF(VALUE(MID($R156,5,3))&gt;597,"",CONCATENATE(VLOOKUP(VALUE(MID($R156,5,3)),'CIRS Table Info'!$B$6:$J$425,6,FALSE),"/",VLOOKUP(VALUE(MID($R156,5,3)),'CIRS Table Info'!$B$6:$J$425,8,FALSE),IF(VLOOKUP(VALUE(MID($R156,5,3)),'CIRS Table Info'!$B$6:$J$425,9,FALSE)="Closed","/CLOSED","")))))</f>
        <v>Pairs/Pairs</v>
      </c>
      <c r="Q156" s="171"/>
      <c r="R156" s="172">
        <f>VLOOKUP($C156,'CIRS Table IDs'!$B:$P,14,FALSE)</f>
        <v>522</v>
      </c>
      <c r="S156" s="410">
        <v>1618</v>
      </c>
      <c r="T156" s="411">
        <v>60.611587999999998</v>
      </c>
      <c r="V156" s="49"/>
      <c r="W156" s="49"/>
    </row>
    <row r="157" spans="1:24" x14ac:dyDescent="0.2">
      <c r="A157" s="21"/>
      <c r="B157" s="21">
        <v>147</v>
      </c>
      <c r="C157" s="45" t="s">
        <v>583</v>
      </c>
      <c r="D157" s="35">
        <f t="shared" si="8"/>
        <v>42751</v>
      </c>
      <c r="E157" s="36">
        <v>2017</v>
      </c>
      <c r="F157" s="36">
        <v>16</v>
      </c>
      <c r="G157" s="37">
        <v>0.72986111111111096</v>
      </c>
      <c r="H157" s="394">
        <v>0.16666666666666699</v>
      </c>
      <c r="I157" s="395">
        <v>0</v>
      </c>
      <c r="J157" s="35">
        <f t="shared" si="9"/>
        <v>42751</v>
      </c>
      <c r="K157" s="36">
        <v>2017</v>
      </c>
      <c r="L157" s="36">
        <v>16</v>
      </c>
      <c r="M157" s="37">
        <v>0.89652777777777803</v>
      </c>
      <c r="N157" s="499" t="s">
        <v>307</v>
      </c>
      <c r="O157" s="367">
        <f>IF(VALUE(LEFT($R157,3))&lt;192,"",IF(VALUE(LEFT($R157,3))&gt;597,"",VLOOKUP(VALUE(LEFT($R157,3)),'CIRS Table Info'!$B$6:$J$425,2,FALSE)))</f>
        <v>15.67</v>
      </c>
      <c r="P157" s="497" t="str">
        <f>IF(MID(R157,5,3)="",IF(VALUE(LEFT($R157,3))&lt;192,"",IF(VALUE(LEFT($R157,3))&gt;597,"",CONCATENATE(VLOOKUP(VALUE(LEFT($R157,3)),'CIRS Table Info'!$B$6:$J$425,6,FALSE),"/",VLOOKUP(VALUE(LEFT($R157,3)),'CIRS Table Info'!$B$6:$J$425,8,FALSE),IF(VLOOKUP(VALUE(LEFT($R157,3)),'CIRS Table Info'!$B$6:$J$425,9,FALSE)="Closed","/CLOSED","")))),IF(VALUE(MID($R157,5,3))&lt;192,"",IF(VALUE(MID($R157,5,3))&gt;597,"",CONCATENATE(VLOOKUP(VALUE(MID($R157,5,3)),'CIRS Table Info'!$B$6:$J$425,6,FALSE),"/",VLOOKUP(VALUE(MID($R157,5,3)),'CIRS Table Info'!$B$6:$J$425,8,FALSE),IF(VLOOKUP(VALUE(MID($R157,5,3)),'CIRS Table Info'!$B$6:$J$425,9,FALSE)="Closed","/CLOSED","")))))</f>
        <v>Blink/Blink</v>
      </c>
      <c r="Q157" s="171"/>
      <c r="R157" s="172">
        <f>VLOOKUP($C157,'CIRS Table IDs'!$B:$P,14,FALSE)</f>
        <v>505</v>
      </c>
      <c r="S157" s="410">
        <v>1761.5866699999999</v>
      </c>
      <c r="T157" s="411">
        <v>95.227861000000004</v>
      </c>
      <c r="V157" s="49"/>
      <c r="W157" s="49"/>
      <c r="X157" s="49"/>
    </row>
    <row r="158" spans="1:24" x14ac:dyDescent="0.2">
      <c r="A158" s="21"/>
      <c r="B158" s="21">
        <v>148</v>
      </c>
      <c r="C158" s="45" t="s">
        <v>584</v>
      </c>
      <c r="D158" s="35">
        <f t="shared" si="8"/>
        <v>42751</v>
      </c>
      <c r="E158" s="36">
        <v>2017</v>
      </c>
      <c r="F158" s="36">
        <v>16</v>
      </c>
      <c r="G158" s="37">
        <v>0.89652777777777803</v>
      </c>
      <c r="H158" s="396">
        <v>0.10347222222222199</v>
      </c>
      <c r="I158" s="397">
        <v>0</v>
      </c>
      <c r="J158" s="35">
        <f t="shared" si="9"/>
        <v>42752</v>
      </c>
      <c r="K158" s="36">
        <v>2017</v>
      </c>
      <c r="L158" s="36">
        <v>17</v>
      </c>
      <c r="M158" s="37">
        <v>0</v>
      </c>
      <c r="N158" s="499" t="s">
        <v>308</v>
      </c>
      <c r="O158" s="367">
        <f>IF(VALUE(LEFT($R158,3))&lt;192,"",IF(VALUE(LEFT($R158,3))&gt;597,"",VLOOKUP(VALUE(LEFT($R158,3)),'CIRS Table Info'!$B$6:$J$425,2,FALSE)))</f>
        <v>2.85</v>
      </c>
      <c r="P158" s="497" t="str">
        <f>IF(MID(R158,5,3)="",IF(VALUE(LEFT($R158,3))&lt;192,"",IF(VALUE(LEFT($R158,3))&gt;597,"",CONCATENATE(VLOOKUP(VALUE(LEFT($R158,3)),'CIRS Table Info'!$B$6:$J$425,6,FALSE),"/",VLOOKUP(VALUE(LEFT($R158,3)),'CIRS Table Info'!$B$6:$J$425,8,FALSE),IF(VLOOKUP(VALUE(LEFT($R158,3)),'CIRS Table Info'!$B$6:$J$425,9,FALSE)="Closed","/CLOSED","")))),IF(VALUE(MID($R158,5,3))&lt;192,"",IF(VALUE(MID($R158,5,3))&gt;597,"",CONCATENATE(VLOOKUP(VALUE(MID($R158,5,3)),'CIRS Table Info'!$B$6:$J$425,6,FALSE),"/",VLOOKUP(VALUE(MID($R158,5,3)),'CIRS Table Info'!$B$6:$J$425,8,FALSE),IF(VLOOKUP(VALUE(MID($R158,5,3)),'CIRS Table Info'!$B$6:$J$425,9,FALSE)="Closed","/CLOSED","")))))</f>
        <v>Pairs/Pairs</v>
      </c>
      <c r="Q158" s="171"/>
      <c r="R158" s="172">
        <f>VLOOKUP($C158,'CIRS Table IDs'!$B:$P,14,FALSE)</f>
        <v>472</v>
      </c>
      <c r="S158" s="410">
        <v>1368.9372559999999</v>
      </c>
      <c r="T158" s="411">
        <v>100</v>
      </c>
    </row>
    <row r="159" spans="1:24" x14ac:dyDescent="0.2">
      <c r="A159" s="21"/>
      <c r="B159" s="21">
        <v>149</v>
      </c>
      <c r="C159" s="45" t="s">
        <v>585</v>
      </c>
      <c r="D159" s="35">
        <f t="shared" si="8"/>
        <v>42752</v>
      </c>
      <c r="E159" s="36">
        <v>2017</v>
      </c>
      <c r="F159" s="36">
        <v>17</v>
      </c>
      <c r="G159" s="37">
        <v>0</v>
      </c>
      <c r="H159" s="396">
        <v>6.5972222222222196E-2</v>
      </c>
      <c r="I159" s="397">
        <v>0</v>
      </c>
      <c r="J159" s="35">
        <f t="shared" si="9"/>
        <v>42752</v>
      </c>
      <c r="K159" s="36">
        <v>2017</v>
      </c>
      <c r="L159" s="36">
        <v>17</v>
      </c>
      <c r="M159" s="37">
        <v>6.5972222222222196E-2</v>
      </c>
      <c r="N159" s="499" t="s">
        <v>308</v>
      </c>
      <c r="O159" s="367">
        <f>IF(VALUE(LEFT($R159,3))&lt;192,"",IF(VALUE(LEFT($R159,3))&gt;597,"",VLOOKUP(VALUE(LEFT($R159,3)),'CIRS Table Info'!$B$6:$J$425,2,FALSE)))</f>
        <v>2.85</v>
      </c>
      <c r="P159" s="497" t="str">
        <f>IF(MID(R159,5,3)="",IF(VALUE(LEFT($R159,3))&lt;192,"",IF(VALUE(LEFT($R159,3))&gt;597,"",CONCATENATE(VLOOKUP(VALUE(LEFT($R159,3)),'CIRS Table Info'!$B$6:$J$425,6,FALSE),"/",VLOOKUP(VALUE(LEFT($R159,3)),'CIRS Table Info'!$B$6:$J$425,8,FALSE),IF(VLOOKUP(VALUE(LEFT($R159,3)),'CIRS Table Info'!$B$6:$J$425,9,FALSE)="Closed","/CLOSED","")))),IF(VALUE(MID($R159,5,3))&lt;192,"",IF(VALUE(MID($R159,5,3))&gt;597,"",CONCATENATE(VLOOKUP(VALUE(MID($R159,5,3)),'CIRS Table Info'!$B$6:$J$425,6,FALSE),"/",VLOOKUP(VALUE(MID($R159,5,3)),'CIRS Table Info'!$B$6:$J$425,8,FALSE),IF(VLOOKUP(VALUE(MID($R159,5,3)),'CIRS Table Info'!$B$6:$J$425,9,FALSE)="Closed","/CLOSED","")))))</f>
        <v>Pairs/Pairs</v>
      </c>
      <c r="Q159" s="171"/>
      <c r="R159" s="172">
        <f>VLOOKUP($C159,'CIRS Table IDs'!$B:$P,14,FALSE)</f>
        <v>422</v>
      </c>
      <c r="S159" s="410">
        <v>1256.3680420000001</v>
      </c>
      <c r="T159" s="411">
        <v>100</v>
      </c>
    </row>
    <row r="160" spans="1:24" x14ac:dyDescent="0.2">
      <c r="A160" s="21"/>
      <c r="B160" s="21">
        <v>150</v>
      </c>
      <c r="C160" s="45" t="s">
        <v>586</v>
      </c>
      <c r="D160" s="35">
        <f t="shared" si="8"/>
        <v>42752</v>
      </c>
      <c r="E160" s="36">
        <v>2017</v>
      </c>
      <c r="F160" s="36">
        <v>17</v>
      </c>
      <c r="G160" s="37">
        <v>6.5972222222222196E-2</v>
      </c>
      <c r="H160" s="396">
        <v>0.100694444444444</v>
      </c>
      <c r="I160" s="397">
        <v>0</v>
      </c>
      <c r="J160" s="35">
        <f t="shared" si="9"/>
        <v>42752</v>
      </c>
      <c r="K160" s="36">
        <v>2017</v>
      </c>
      <c r="L160" s="36">
        <v>17</v>
      </c>
      <c r="M160" s="37">
        <v>0.16666666666666699</v>
      </c>
      <c r="N160" s="499" t="s">
        <v>308</v>
      </c>
      <c r="O160" s="367">
        <f>IF(VALUE(LEFT($R160,3))&lt;192,"",IF(VALUE(LEFT($R160,3))&gt;597,"",VLOOKUP(VALUE(LEFT($R160,3)),'CIRS Table Info'!$B$6:$J$425,2,FALSE)))</f>
        <v>2.85</v>
      </c>
      <c r="P160" s="497" t="str">
        <f>IF(MID(R160,5,3)="",IF(VALUE(LEFT($R160,3))&lt;192,"",IF(VALUE(LEFT($R160,3))&gt;597,"",CONCATENATE(VLOOKUP(VALUE(LEFT($R160,3)),'CIRS Table Info'!$B$6:$J$425,6,FALSE),"/",VLOOKUP(VALUE(LEFT($R160,3)),'CIRS Table Info'!$B$6:$J$425,8,FALSE),IF(VLOOKUP(VALUE(LEFT($R160,3)),'CIRS Table Info'!$B$6:$J$425,9,FALSE)="Closed","/CLOSED","")))),IF(VALUE(MID($R160,5,3))&lt;192,"",IF(VALUE(MID($R160,5,3))&gt;597,"",CONCATENATE(VLOOKUP(VALUE(MID($R160,5,3)),'CIRS Table Info'!$B$6:$J$425,6,FALSE),"/",VLOOKUP(VALUE(MID($R160,5,3)),'CIRS Table Info'!$B$6:$J$425,8,FALSE),IF(VLOOKUP(VALUE(MID($R160,5,3)),'CIRS Table Info'!$B$6:$J$425,9,FALSE)="Closed","/CLOSED","")))))</f>
        <v>Pairs/Pairs</v>
      </c>
      <c r="Q160" s="171"/>
      <c r="R160" s="172">
        <f>VLOOKUP($C160,'CIRS Table IDs'!$B:$P,14,FALSE)</f>
        <v>472</v>
      </c>
      <c r="S160" s="410">
        <v>1838.470703</v>
      </c>
      <c r="T160" s="411">
        <v>96.797382999999996</v>
      </c>
    </row>
    <row r="161" spans="1:24" x14ac:dyDescent="0.2">
      <c r="A161" s="21"/>
      <c r="B161" s="21">
        <v>151</v>
      </c>
      <c r="C161" s="45" t="s">
        <v>587</v>
      </c>
      <c r="D161" s="35">
        <f t="shared" si="8"/>
        <v>42752</v>
      </c>
      <c r="E161" s="36">
        <v>2017</v>
      </c>
      <c r="F161" s="36">
        <v>17</v>
      </c>
      <c r="G161" s="37">
        <v>0.23055555555555601</v>
      </c>
      <c r="H161" s="396">
        <v>6.5972222222222196E-2</v>
      </c>
      <c r="I161" s="397">
        <v>0</v>
      </c>
      <c r="J161" s="35">
        <f t="shared" si="9"/>
        <v>42752</v>
      </c>
      <c r="K161" s="36">
        <v>2017</v>
      </c>
      <c r="L161" s="36">
        <v>17</v>
      </c>
      <c r="M161" s="37">
        <v>0.296527777777778</v>
      </c>
      <c r="N161" s="499" t="s">
        <v>308</v>
      </c>
      <c r="O161" s="367">
        <f>IF(VALUE(LEFT($R161,3))&lt;192,"",IF(VALUE(LEFT($R161,3))&gt;597,"",VLOOKUP(VALUE(LEFT($R161,3)),'CIRS Table Info'!$B$6:$J$425,2,FALSE)))</f>
        <v>2.85</v>
      </c>
      <c r="P161" s="497" t="str">
        <f>IF(MID(R161,5,3)="",IF(VALUE(LEFT($R161,3))&lt;192,"",IF(VALUE(LEFT($R161,3))&gt;597,"",CONCATENATE(VLOOKUP(VALUE(LEFT($R161,3)),'CIRS Table Info'!$B$6:$J$425,6,FALSE),"/",VLOOKUP(VALUE(LEFT($R161,3)),'CIRS Table Info'!$B$6:$J$425,8,FALSE),IF(VLOOKUP(VALUE(LEFT($R161,3)),'CIRS Table Info'!$B$6:$J$425,9,FALSE)="Closed","/CLOSED","")))),IF(VALUE(MID($R161,5,3))&lt;192,"",IF(VALUE(MID($R161,5,3))&gt;597,"",CONCATENATE(VLOOKUP(VALUE(MID($R161,5,3)),'CIRS Table Info'!$B$6:$J$425,6,FALSE),"/",VLOOKUP(VALUE(MID($R161,5,3)),'CIRS Table Info'!$B$6:$J$425,8,FALSE),IF(VLOOKUP(VALUE(MID($R161,5,3)),'CIRS Table Info'!$B$6:$J$425,9,FALSE)="Closed","/CLOSED","")))))</f>
        <v>Pairs/Pairs</v>
      </c>
      <c r="Q161" s="171"/>
      <c r="R161" s="172">
        <f>VLOOKUP($C161,'CIRS Table IDs'!$B:$P,14,FALSE)</f>
        <v>422</v>
      </c>
      <c r="S161" s="410">
        <v>1672.952759</v>
      </c>
      <c r="T161" s="411">
        <v>98.429625999999999</v>
      </c>
    </row>
    <row r="162" spans="1:24" x14ac:dyDescent="0.2">
      <c r="A162" s="477">
        <v>38</v>
      </c>
      <c r="B162" s="477">
        <v>152</v>
      </c>
      <c r="C162" s="478" t="s">
        <v>588</v>
      </c>
      <c r="D162" s="479">
        <f t="shared" si="8"/>
        <v>42752</v>
      </c>
      <c r="E162" s="480">
        <v>2017</v>
      </c>
      <c r="F162" s="480">
        <v>17</v>
      </c>
      <c r="G162" s="485">
        <v>0.70833333333333304</v>
      </c>
      <c r="H162" s="491">
        <v>0.19843749999999999</v>
      </c>
      <c r="I162" s="492">
        <v>6.6145833333333307E-2</v>
      </c>
      <c r="J162" s="479">
        <f t="shared" si="9"/>
        <v>42752</v>
      </c>
      <c r="K162" s="480">
        <v>2017</v>
      </c>
      <c r="L162" s="480">
        <v>17</v>
      </c>
      <c r="M162" s="485">
        <v>0.97291666666666698</v>
      </c>
      <c r="N162" s="501">
        <v>3000</v>
      </c>
      <c r="O162" s="486" t="str">
        <f>IF(VALUE(LEFT($R162,3))&lt;192,"",IF(VALUE(LEFT($R162,3))&gt;597,"",VLOOKUP(VALUE(LEFT($R162,3)),'CIRS Table Info'!$B$6:$J$425,2,FALSE)))</f>
        <v/>
      </c>
      <c r="P162" s="498" t="str">
        <f>IF(MID(R162,5,3)="",IF(VALUE(LEFT($R162,3))&lt;192,"",IF(VALUE(LEFT($R162,3))&gt;597,"",CONCATENATE(VLOOKUP(VALUE(LEFT($R162,3)),'CIRS Table Info'!$B$6:$J$425,6,FALSE),"/",VLOOKUP(VALUE(LEFT($R162,3)),'CIRS Table Info'!$B$6:$J$425,8,FALSE),IF(VLOOKUP(VALUE(LEFT($R162,3)),'CIRS Table Info'!$B$6:$J$425,9,FALSE)="Closed","/CLOSED","")))),IF(VALUE(MID($R162,5,3))&lt;192,"",IF(VALUE(MID($R162,5,3))&gt;597,"",CONCATENATE(VLOOKUP(VALUE(MID($R162,5,3)),'CIRS Table Info'!$B$6:$J$425,6,FALSE),"/",VLOOKUP(VALUE(MID($R162,5,3)),'CIRS Table Info'!$B$6:$J$425,8,FALSE),IF(VLOOKUP(VALUE(MID($R162,5,3)),'CIRS Table Info'!$B$6:$J$425,9,FALSE)="Closed","/CLOSED","")))))</f>
        <v/>
      </c>
      <c r="Q162" s="487"/>
      <c r="R162" s="488">
        <f>VLOOKUP($C162,'CIRS Table IDs'!$B:$P,14,FALSE)</f>
        <v>901</v>
      </c>
      <c r="S162" s="489">
        <v>1040.822754</v>
      </c>
      <c r="T162" s="490">
        <v>100</v>
      </c>
      <c r="W162" s="49"/>
      <c r="X162" s="49"/>
    </row>
    <row r="163" spans="1:24" x14ac:dyDescent="0.2">
      <c r="A163" s="21"/>
      <c r="B163" s="21">
        <v>153</v>
      </c>
      <c r="C163" s="45" t="s">
        <v>589</v>
      </c>
      <c r="D163" s="35">
        <f t="shared" si="8"/>
        <v>42753</v>
      </c>
      <c r="E163" s="36">
        <v>2017</v>
      </c>
      <c r="F163" s="36">
        <v>18</v>
      </c>
      <c r="G163" s="37">
        <v>6.9444444444444404E-4</v>
      </c>
      <c r="H163" s="396">
        <v>0.62361111111111101</v>
      </c>
      <c r="I163" s="397">
        <v>0</v>
      </c>
      <c r="J163" s="35">
        <f t="shared" si="9"/>
        <v>42753</v>
      </c>
      <c r="K163" s="36">
        <v>2017</v>
      </c>
      <c r="L163" s="36">
        <v>18</v>
      </c>
      <c r="M163" s="37">
        <v>0.624305555555556</v>
      </c>
      <c r="N163" s="499" t="s">
        <v>308</v>
      </c>
      <c r="O163" s="367">
        <f>IF(VALUE(LEFT($R163,3))&lt;192,"",IF(VALUE(LEFT($R163,3))&gt;597,"",VLOOKUP(VALUE(LEFT($R163,3)),'CIRS Table Info'!$B$6:$J$425,2,FALSE)))</f>
        <v>2.85</v>
      </c>
      <c r="P163" s="497" t="str">
        <f>IF(MID(R163,5,3)="",IF(VALUE(LEFT($R163,3))&lt;192,"",IF(VALUE(LEFT($R163,3))&gt;597,"",CONCATENATE(VLOOKUP(VALUE(LEFT($R163,3)),'CIRS Table Info'!$B$6:$J$425,6,FALSE),"/",VLOOKUP(VALUE(LEFT($R163,3)),'CIRS Table Info'!$B$6:$J$425,8,FALSE),IF(VLOOKUP(VALUE(LEFT($R163,3)),'CIRS Table Info'!$B$6:$J$425,9,FALSE)="Closed","/CLOSED","")))),IF(VALUE(MID($R163,5,3))&lt;192,"",IF(VALUE(MID($R163,5,3))&gt;597,"",CONCATENATE(VLOOKUP(VALUE(MID($R163,5,3)),'CIRS Table Info'!$B$6:$J$425,6,FALSE),"/",VLOOKUP(VALUE(MID($R163,5,3)),'CIRS Table Info'!$B$6:$J$425,8,FALSE),IF(VLOOKUP(VALUE(MID($R163,5,3)),'CIRS Table Info'!$B$6:$J$425,9,FALSE)="Closed","/CLOSED","")))))</f>
        <v>Pairs/Pairs</v>
      </c>
      <c r="Q163" s="171"/>
      <c r="R163" s="172">
        <f>VLOOKUP($C163,'CIRS Table IDs'!$B:$P,14,FALSE)</f>
        <v>572</v>
      </c>
      <c r="S163" s="410">
        <v>920.17028800000003</v>
      </c>
      <c r="T163" s="411">
        <v>100</v>
      </c>
      <c r="W163" s="49"/>
      <c r="X163" s="49"/>
    </row>
    <row r="164" spans="1:24" x14ac:dyDescent="0.2">
      <c r="A164" s="477">
        <v>39</v>
      </c>
      <c r="B164" s="477">
        <v>154</v>
      </c>
      <c r="C164" s="478" t="s">
        <v>590</v>
      </c>
      <c r="D164" s="479">
        <f t="shared" si="8"/>
        <v>42753</v>
      </c>
      <c r="E164" s="480">
        <v>2017</v>
      </c>
      <c r="F164" s="480">
        <v>18</v>
      </c>
      <c r="G164" s="485">
        <v>0.75624999999999998</v>
      </c>
      <c r="H164" s="493">
        <v>0.25</v>
      </c>
      <c r="I164" s="494">
        <v>8.3333333333333301E-2</v>
      </c>
      <c r="J164" s="479">
        <f t="shared" si="9"/>
        <v>42754</v>
      </c>
      <c r="K164" s="480">
        <v>2017</v>
      </c>
      <c r="L164" s="480">
        <v>19</v>
      </c>
      <c r="M164" s="485">
        <v>8.9583333333333307E-2</v>
      </c>
      <c r="N164" s="501">
        <v>3000</v>
      </c>
      <c r="O164" s="486" t="str">
        <f>IF(VALUE(LEFT($R164,3))&lt;192,"",IF(VALUE(LEFT($R164,3))&gt;597,"",VLOOKUP(VALUE(LEFT($R164,3)),'CIRS Table Info'!$B$6:$J$425,2,FALSE)))</f>
        <v/>
      </c>
      <c r="P164" s="498" t="str">
        <f>IF(MID(R164,5,3)="",IF(VALUE(LEFT($R164,3))&lt;192,"",IF(VALUE(LEFT($R164,3))&gt;597,"",CONCATENATE(VLOOKUP(VALUE(LEFT($R164,3)),'CIRS Table Info'!$B$6:$J$425,6,FALSE),"/",VLOOKUP(VALUE(LEFT($R164,3)),'CIRS Table Info'!$B$6:$J$425,8,FALSE),IF(VLOOKUP(VALUE(LEFT($R164,3)),'CIRS Table Info'!$B$6:$J$425,9,FALSE)="Closed","/CLOSED","")))),IF(VALUE(MID($R164,5,3))&lt;192,"",IF(VALUE(MID($R164,5,3))&gt;597,"",CONCATENATE(VLOOKUP(VALUE(MID($R164,5,3)),'CIRS Table Info'!$B$6:$J$425,6,FALSE),"/",VLOOKUP(VALUE(MID($R164,5,3)),'CIRS Table Info'!$B$6:$J$425,8,FALSE),IF(VLOOKUP(VALUE(MID($R164,5,3)),'CIRS Table Info'!$B$6:$J$425,9,FALSE)="Closed","/CLOSED","")))))</f>
        <v/>
      </c>
      <c r="Q164" s="487"/>
      <c r="R164" s="488">
        <f>VLOOKUP($C164,'CIRS Table IDs'!$B:$P,14,FALSE)</f>
        <v>903</v>
      </c>
      <c r="S164" s="489">
        <v>1457.8360600000001</v>
      </c>
      <c r="T164" s="490">
        <v>59.119146999999998</v>
      </c>
      <c r="V164" s="49"/>
      <c r="W164" s="49"/>
    </row>
    <row r="165" spans="1:24" x14ac:dyDescent="0.2">
      <c r="A165" s="21"/>
      <c r="B165" s="21">
        <v>155</v>
      </c>
      <c r="C165" s="45" t="s">
        <v>591</v>
      </c>
      <c r="D165" s="35">
        <f t="shared" si="8"/>
        <v>42754</v>
      </c>
      <c r="E165" s="36">
        <v>2017</v>
      </c>
      <c r="F165" s="36">
        <v>19</v>
      </c>
      <c r="G165" s="161">
        <v>0.117361111111111</v>
      </c>
      <c r="H165" s="392">
        <v>0.52638888888888902</v>
      </c>
      <c r="I165" s="393">
        <v>0</v>
      </c>
      <c r="J165" s="164">
        <f t="shared" si="9"/>
        <v>42754</v>
      </c>
      <c r="K165" s="36">
        <v>2017</v>
      </c>
      <c r="L165" s="36">
        <v>19</v>
      </c>
      <c r="M165" s="37">
        <v>0.64375000000000004</v>
      </c>
      <c r="N165" s="499" t="s">
        <v>307</v>
      </c>
      <c r="O165" s="367">
        <f>IF(VALUE(LEFT($R165,3))&lt;192,"",IF(VALUE(LEFT($R165,3))&gt;597,"",VLOOKUP(VALUE(LEFT($R165,3)),'CIRS Table Info'!$B$6:$J$425,2,FALSE)))</f>
        <v>15.67</v>
      </c>
      <c r="P165" s="497" t="str">
        <f>IF(MID(R165,5,3)="",IF(VALUE(LEFT($R165,3))&lt;192,"",IF(VALUE(LEFT($R165,3))&gt;597,"",CONCATENATE(VLOOKUP(VALUE(LEFT($R165,3)),'CIRS Table Info'!$B$6:$J$425,6,FALSE),"/",VLOOKUP(VALUE(LEFT($R165,3)),'CIRS Table Info'!$B$6:$J$425,8,FALSE),IF(VLOOKUP(VALUE(LEFT($R165,3)),'CIRS Table Info'!$B$6:$J$425,9,FALSE)="Closed","/CLOSED","")))),IF(VALUE(MID($R165,5,3))&lt;192,"",IF(VALUE(MID($R165,5,3))&gt;597,"",CONCATENATE(VLOOKUP(VALUE(MID($R165,5,3)),'CIRS Table Info'!$B$6:$J$425,6,FALSE),"/",VLOOKUP(VALUE(MID($R165,5,3)),'CIRS Table Info'!$B$6:$J$425,8,FALSE),IF(VLOOKUP(VALUE(MID($R165,5,3)),'CIRS Table Info'!$B$6:$J$425,9,FALSE)="Closed","/CLOSED","")))))</f>
        <v>Pairs/Pairs</v>
      </c>
      <c r="Q165" s="171"/>
      <c r="R165" s="172" t="str">
        <f>VLOOKUP($C165,'CIRS Table IDs'!$B:$P,14,FALSE)</f>
        <v>210,207,210</v>
      </c>
      <c r="S165" s="410">
        <v>1125.8051760000001</v>
      </c>
      <c r="T165" s="411">
        <v>99.731296</v>
      </c>
      <c r="V165" s="49"/>
      <c r="W165" s="49"/>
    </row>
    <row r="166" spans="1:24" x14ac:dyDescent="0.2">
      <c r="A166" s="477">
        <v>40</v>
      </c>
      <c r="B166" s="477">
        <v>156</v>
      </c>
      <c r="C166" s="478" t="s">
        <v>592</v>
      </c>
      <c r="D166" s="479">
        <f t="shared" si="8"/>
        <v>42754</v>
      </c>
      <c r="E166" s="480">
        <v>2017</v>
      </c>
      <c r="F166" s="480">
        <v>19</v>
      </c>
      <c r="G166" s="481">
        <v>0.77569444444444402</v>
      </c>
      <c r="H166" s="482">
        <v>0.25</v>
      </c>
      <c r="I166" s="483">
        <v>8.3333333333333301E-2</v>
      </c>
      <c r="J166" s="484">
        <f t="shared" si="9"/>
        <v>42755</v>
      </c>
      <c r="K166" s="480">
        <v>2017</v>
      </c>
      <c r="L166" s="480">
        <v>20</v>
      </c>
      <c r="M166" s="485">
        <v>0.109027777777778</v>
      </c>
      <c r="N166" s="501">
        <v>3000</v>
      </c>
      <c r="O166" s="486" t="str">
        <f>IF(VALUE(LEFT($R166,3))&lt;192,"",IF(VALUE(LEFT($R166,3))&gt;597,"",VLOOKUP(VALUE(LEFT($R166,3)),'CIRS Table Info'!$B$6:$J$425,2,FALSE)))</f>
        <v/>
      </c>
      <c r="P166" s="498" t="str">
        <f>IF(MID(R166,5,3)="",IF(VALUE(LEFT($R166,3))&lt;192,"",IF(VALUE(LEFT($R166,3))&gt;597,"",CONCATENATE(VLOOKUP(VALUE(LEFT($R166,3)),'CIRS Table Info'!$B$6:$J$425,6,FALSE),"/",VLOOKUP(VALUE(LEFT($R166,3)),'CIRS Table Info'!$B$6:$J$425,8,FALSE),IF(VLOOKUP(VALUE(LEFT($R166,3)),'CIRS Table Info'!$B$6:$J$425,9,FALSE)="Closed","/CLOSED","")))),IF(VALUE(MID($R166,5,3))&lt;192,"",IF(VALUE(MID($R166,5,3))&gt;597,"",CONCATENATE(VLOOKUP(VALUE(MID($R166,5,3)),'CIRS Table Info'!$B$6:$J$425,6,FALSE),"/",VLOOKUP(VALUE(MID($R166,5,3)),'CIRS Table Info'!$B$6:$J$425,8,FALSE),IF(VLOOKUP(VALUE(MID($R166,5,3)),'CIRS Table Info'!$B$6:$J$425,9,FALSE)="Closed","/CLOSED","")))))</f>
        <v/>
      </c>
      <c r="Q166" s="487"/>
      <c r="R166" s="488">
        <f>VLOOKUP($C166,'CIRS Table IDs'!$B:$P,14,FALSE)</f>
        <v>905</v>
      </c>
      <c r="S166" s="489">
        <v>1461.76062</v>
      </c>
      <c r="T166" s="490">
        <v>59.418249000000003</v>
      </c>
      <c r="V166" s="49"/>
      <c r="W166" s="49"/>
    </row>
    <row r="167" spans="1:24" x14ac:dyDescent="0.2">
      <c r="A167" s="477">
        <v>41</v>
      </c>
      <c r="B167" s="477">
        <v>157</v>
      </c>
      <c r="C167" s="478" t="s">
        <v>593</v>
      </c>
      <c r="D167" s="479">
        <f t="shared" si="8"/>
        <v>42755</v>
      </c>
      <c r="E167" s="480">
        <v>2017</v>
      </c>
      <c r="F167" s="480">
        <v>20</v>
      </c>
      <c r="G167" s="485">
        <v>0.77638888888888902</v>
      </c>
      <c r="H167" s="482">
        <v>0.25</v>
      </c>
      <c r="I167" s="483">
        <v>8.3333333333333301E-2</v>
      </c>
      <c r="J167" s="484">
        <f t="shared" si="9"/>
        <v>42756</v>
      </c>
      <c r="K167" s="480">
        <v>2017</v>
      </c>
      <c r="L167" s="480">
        <v>21</v>
      </c>
      <c r="M167" s="485">
        <v>0.109722222222222</v>
      </c>
      <c r="N167" s="501">
        <v>3000</v>
      </c>
      <c r="O167" s="486" t="str">
        <f>IF(VALUE(LEFT($R167,3))&lt;192,"",IF(VALUE(LEFT($R167,3))&gt;597,"",VLOOKUP(VALUE(LEFT($R167,3)),'CIRS Table Info'!$B$6:$J$425,2,FALSE)))</f>
        <v/>
      </c>
      <c r="P167" s="498" t="str">
        <f>IF(MID(R167,5,3)="",IF(VALUE(LEFT($R167,3))&lt;192,"",IF(VALUE(LEFT($R167,3))&gt;597,"",CONCATENATE(VLOOKUP(VALUE(LEFT($R167,3)),'CIRS Table Info'!$B$6:$J$425,6,FALSE),"/",VLOOKUP(VALUE(LEFT($R167,3)),'CIRS Table Info'!$B$6:$J$425,8,FALSE),IF(VLOOKUP(VALUE(LEFT($R167,3)),'CIRS Table Info'!$B$6:$J$425,9,FALSE)="Closed","/CLOSED","")))),IF(VALUE(MID($R167,5,3))&lt;192,"",IF(VALUE(MID($R167,5,3))&gt;597,"",CONCATENATE(VLOOKUP(VALUE(MID($R167,5,3)),'CIRS Table Info'!$B$6:$J$425,6,FALSE),"/",VLOOKUP(VALUE(MID($R167,5,3)),'CIRS Table Info'!$B$6:$J$425,8,FALSE),IF(VLOOKUP(VALUE(MID($R167,5,3)),'CIRS Table Info'!$B$6:$J$425,9,FALSE)="Closed","/CLOSED","")))))</f>
        <v/>
      </c>
      <c r="Q167" s="487"/>
      <c r="R167" s="488">
        <f>VLOOKUP($C167,'CIRS Table IDs'!$B:$P,14,FALSE)</f>
        <v>906</v>
      </c>
      <c r="S167" s="489">
        <v>1007.46167</v>
      </c>
      <c r="T167" s="490">
        <v>100</v>
      </c>
      <c r="V167" s="49"/>
      <c r="W167" s="49"/>
      <c r="X167" s="49"/>
    </row>
    <row r="168" spans="1:24" x14ac:dyDescent="0.2">
      <c r="A168" s="21"/>
      <c r="B168" s="21">
        <v>158</v>
      </c>
      <c r="C168" s="45" t="s">
        <v>594</v>
      </c>
      <c r="D168" s="35">
        <f t="shared" si="8"/>
        <v>42756</v>
      </c>
      <c r="E168" s="36">
        <v>2017</v>
      </c>
      <c r="F168" s="36">
        <v>21</v>
      </c>
      <c r="G168" s="161">
        <v>0.2</v>
      </c>
      <c r="H168" s="392">
        <v>0.43888888888888899</v>
      </c>
      <c r="I168" s="393">
        <v>0</v>
      </c>
      <c r="J168" s="164">
        <f t="shared" si="9"/>
        <v>42756</v>
      </c>
      <c r="K168" s="36">
        <v>2017</v>
      </c>
      <c r="L168" s="36">
        <v>21</v>
      </c>
      <c r="M168" s="37">
        <v>0.63888888888888895</v>
      </c>
      <c r="N168" s="499" t="s">
        <v>308</v>
      </c>
      <c r="O168" s="367">
        <f>IF(VALUE(LEFT($R168,3))&lt;192,"",IF(VALUE(LEFT($R168,3))&gt;597,"",VLOOKUP(VALUE(LEFT($R168,3)),'CIRS Table Info'!$B$6:$J$425,2,FALSE)))</f>
        <v>2.85</v>
      </c>
      <c r="P168" s="497" t="str">
        <f>IF(MID(R168,5,3)="",IF(VALUE(LEFT($R168,3))&lt;192,"",IF(VALUE(LEFT($R168,3))&gt;597,"",CONCATENATE(VLOOKUP(VALUE(LEFT($R168,3)),'CIRS Table Info'!$B$6:$J$425,6,FALSE),"/",VLOOKUP(VALUE(LEFT($R168,3)),'CIRS Table Info'!$B$6:$J$425,8,FALSE),IF(VLOOKUP(VALUE(LEFT($R168,3)),'CIRS Table Info'!$B$6:$J$425,9,FALSE)="Closed","/CLOSED","")))),IF(VALUE(MID($R168,5,3))&lt;192,"",IF(VALUE(MID($R168,5,3))&gt;597,"",CONCATENATE(VLOOKUP(VALUE(MID($R168,5,3)),'CIRS Table Info'!$B$6:$J$425,6,FALSE),"/",VLOOKUP(VALUE(MID($R168,5,3)),'CIRS Table Info'!$B$6:$J$425,8,FALSE),IF(VLOOKUP(VALUE(MID($R168,5,3)),'CIRS Table Info'!$B$6:$J$425,9,FALSE)="Closed","/CLOSED","")))))</f>
        <v>Pairs/Pairs</v>
      </c>
      <c r="Q168" s="171"/>
      <c r="R168" s="172">
        <f>VLOOKUP($C168,'CIRS Table IDs'!$B:$P,14,FALSE)</f>
        <v>572</v>
      </c>
      <c r="S168" s="410">
        <v>1216.3122559999999</v>
      </c>
      <c r="T168" s="411">
        <v>100</v>
      </c>
      <c r="V168" s="49"/>
      <c r="W168" s="49"/>
      <c r="X168" s="49"/>
    </row>
    <row r="169" spans="1:24" x14ac:dyDescent="0.2">
      <c r="A169" s="477">
        <v>42</v>
      </c>
      <c r="B169" s="477">
        <v>159</v>
      </c>
      <c r="C169" s="478" t="s">
        <v>595</v>
      </c>
      <c r="D169" s="479">
        <f t="shared" ref="D169:D200" si="10">DATE(E169,1,F169)</f>
        <v>42756</v>
      </c>
      <c r="E169" s="480">
        <v>2017</v>
      </c>
      <c r="F169" s="480">
        <v>21</v>
      </c>
      <c r="G169" s="481">
        <v>0.77083333333333304</v>
      </c>
      <c r="H169" s="482">
        <v>0.25</v>
      </c>
      <c r="I169" s="483">
        <v>8.3333333333333301E-2</v>
      </c>
      <c r="J169" s="484">
        <f t="shared" si="9"/>
        <v>42757</v>
      </c>
      <c r="K169" s="480">
        <v>2017</v>
      </c>
      <c r="L169" s="480">
        <v>22</v>
      </c>
      <c r="M169" s="485">
        <v>0.104166666666667</v>
      </c>
      <c r="N169" s="501">
        <v>3000</v>
      </c>
      <c r="O169" s="486" t="str">
        <f>IF(VALUE(LEFT($R169,3))&lt;192,"",IF(VALUE(LEFT($R169,3))&gt;597,"",VLOOKUP(VALUE(LEFT($R169,3)),'CIRS Table Info'!$B$6:$J$425,2,FALSE)))</f>
        <v/>
      </c>
      <c r="P169" s="498" t="str">
        <f>IF(MID(R169,5,3)="",IF(VALUE(LEFT($R169,3))&lt;192,"",IF(VALUE(LEFT($R169,3))&gt;597,"",CONCATENATE(VLOOKUP(VALUE(LEFT($R169,3)),'CIRS Table Info'!$B$6:$J$425,6,FALSE),"/",VLOOKUP(VALUE(LEFT($R169,3)),'CIRS Table Info'!$B$6:$J$425,8,FALSE),IF(VLOOKUP(VALUE(LEFT($R169,3)),'CIRS Table Info'!$B$6:$J$425,9,FALSE)="Closed","/CLOSED","")))),IF(VALUE(MID($R169,5,3))&lt;192,"",IF(VALUE(MID($R169,5,3))&gt;597,"",CONCATENATE(VLOOKUP(VALUE(MID($R169,5,3)),'CIRS Table Info'!$B$6:$J$425,6,FALSE),"/",VLOOKUP(VALUE(MID($R169,5,3)),'CIRS Table Info'!$B$6:$J$425,8,FALSE),IF(VLOOKUP(VALUE(MID($R169,5,3)),'CIRS Table Info'!$B$6:$J$425,9,FALSE)="Closed","/CLOSED","")))))</f>
        <v/>
      </c>
      <c r="Q169" s="487"/>
      <c r="R169" s="488">
        <f>VLOOKUP($C169,'CIRS Table IDs'!$B:$P,14,FALSE)</f>
        <v>908</v>
      </c>
      <c r="S169" s="489">
        <v>1015.060974</v>
      </c>
      <c r="T169" s="490">
        <v>100</v>
      </c>
      <c r="V169" s="49"/>
      <c r="W169" s="49"/>
      <c r="X169" s="49"/>
    </row>
    <row r="170" spans="1:24" x14ac:dyDescent="0.2">
      <c r="A170" s="21"/>
      <c r="B170" s="21">
        <v>160</v>
      </c>
      <c r="C170" s="45" t="s">
        <v>596</v>
      </c>
      <c r="D170" s="35">
        <f t="shared" si="10"/>
        <v>42757</v>
      </c>
      <c r="E170" s="36">
        <v>2017</v>
      </c>
      <c r="F170" s="36">
        <v>22</v>
      </c>
      <c r="G170" s="161">
        <v>0.194444444444444</v>
      </c>
      <c r="H170" s="392">
        <v>0.36111111111111099</v>
      </c>
      <c r="I170" s="393">
        <v>0</v>
      </c>
      <c r="J170" s="164">
        <f t="shared" ref="J170:J201" si="11">DATE(K170,1,L170)</f>
        <v>42757</v>
      </c>
      <c r="K170" s="36">
        <v>2017</v>
      </c>
      <c r="L170" s="36">
        <v>22</v>
      </c>
      <c r="M170" s="37">
        <v>0.55555555555555602</v>
      </c>
      <c r="N170" s="499" t="s">
        <v>308</v>
      </c>
      <c r="O170" s="367">
        <f>IF(VALUE(LEFT($R170,3))&lt;192,"",IF(VALUE(LEFT($R170,3))&gt;597,"",VLOOKUP(VALUE(LEFT($R170,3)),'CIRS Table Info'!$B$6:$J$425,2,FALSE)))</f>
        <v>2.85</v>
      </c>
      <c r="P170" s="497" t="str">
        <f>IF(MID(R170,5,3)="",IF(VALUE(LEFT($R170,3))&lt;192,"",IF(VALUE(LEFT($R170,3))&gt;597,"",CONCATENATE(VLOOKUP(VALUE(LEFT($R170,3)),'CIRS Table Info'!$B$6:$J$425,6,FALSE),"/",VLOOKUP(VALUE(LEFT($R170,3)),'CIRS Table Info'!$B$6:$J$425,8,FALSE),IF(VLOOKUP(VALUE(LEFT($R170,3)),'CIRS Table Info'!$B$6:$J$425,9,FALSE)="Closed","/CLOSED","")))),IF(VALUE(MID($R170,5,3))&lt;192,"",IF(VALUE(MID($R170,5,3))&gt;597,"",CONCATENATE(VLOOKUP(VALUE(MID($R170,5,3)),'CIRS Table Info'!$B$6:$J$425,6,FALSE),"/",VLOOKUP(VALUE(MID($R170,5,3)),'CIRS Table Info'!$B$6:$J$425,8,FALSE),IF(VLOOKUP(VALUE(MID($R170,5,3)),'CIRS Table Info'!$B$6:$J$425,9,FALSE)="Closed","/CLOSED","")))))</f>
        <v>Pairs/Pairs</v>
      </c>
      <c r="Q170" s="171"/>
      <c r="R170" s="172">
        <f>VLOOKUP($C170,'CIRS Table IDs'!$B:$P,14,FALSE)</f>
        <v>572</v>
      </c>
      <c r="S170" s="410">
        <v>1287.197144</v>
      </c>
      <c r="T170" s="411">
        <v>100</v>
      </c>
      <c r="V170" s="49"/>
      <c r="W170" s="49"/>
      <c r="X170" s="49"/>
    </row>
    <row r="171" spans="1:24" x14ac:dyDescent="0.2">
      <c r="A171" s="477">
        <v>43</v>
      </c>
      <c r="B171" s="477">
        <v>161</v>
      </c>
      <c r="C171" s="478" t="s">
        <v>597</v>
      </c>
      <c r="D171" s="479">
        <f t="shared" si="10"/>
        <v>42757</v>
      </c>
      <c r="E171" s="480">
        <v>2017</v>
      </c>
      <c r="F171" s="480">
        <v>22</v>
      </c>
      <c r="G171" s="481">
        <v>0.6875</v>
      </c>
      <c r="H171" s="482">
        <v>0.3671875</v>
      </c>
      <c r="I171" s="483">
        <v>0.122395833333333</v>
      </c>
      <c r="J171" s="484">
        <f t="shared" si="11"/>
        <v>42758</v>
      </c>
      <c r="K171" s="480">
        <v>2017</v>
      </c>
      <c r="L171" s="480">
        <v>23</v>
      </c>
      <c r="M171" s="485">
        <v>0.17708333333333301</v>
      </c>
      <c r="N171" s="501">
        <v>3000</v>
      </c>
      <c r="O171" s="486" t="str">
        <f>IF(VALUE(LEFT($R171,3))&lt;192,"",IF(VALUE(LEFT($R171,3))&gt;597,"",VLOOKUP(VALUE(LEFT($R171,3)),'CIRS Table Info'!$B$6:$J$425,2,FALSE)))</f>
        <v/>
      </c>
      <c r="P171" s="498" t="str">
        <f>IF(MID(R171,5,3)="",IF(VALUE(LEFT($R171,3))&lt;192,"",IF(VALUE(LEFT($R171,3))&gt;597,"",CONCATENATE(VLOOKUP(VALUE(LEFT($R171,3)),'CIRS Table Info'!$B$6:$J$425,6,FALSE),"/",VLOOKUP(VALUE(LEFT($R171,3)),'CIRS Table Info'!$B$6:$J$425,8,FALSE),IF(VLOOKUP(VALUE(LEFT($R171,3)),'CIRS Table Info'!$B$6:$J$425,9,FALSE)="Closed","/CLOSED","")))),IF(VALUE(MID($R171,5,3))&lt;192,"",IF(VALUE(MID($R171,5,3))&gt;597,"",CONCATENATE(VLOOKUP(VALUE(MID($R171,5,3)),'CIRS Table Info'!$B$6:$J$425,6,FALSE),"/",VLOOKUP(VALUE(MID($R171,5,3)),'CIRS Table Info'!$B$6:$J$425,8,FALSE),IF(VLOOKUP(VALUE(MID($R171,5,3)),'CIRS Table Info'!$B$6:$J$425,9,FALSE)="Closed","/CLOSED","")))))</f>
        <v/>
      </c>
      <c r="Q171" s="487"/>
      <c r="R171" s="488">
        <f>VLOOKUP($C171,'CIRS Table IDs'!$B:$P,14,FALSE)</f>
        <v>910</v>
      </c>
      <c r="S171" s="489">
        <v>1274.667725</v>
      </c>
      <c r="T171" s="490">
        <v>100</v>
      </c>
      <c r="V171" s="49"/>
      <c r="W171" s="49"/>
      <c r="X171" s="49"/>
    </row>
    <row r="172" spans="1:24" x14ac:dyDescent="0.2">
      <c r="A172" s="21"/>
      <c r="B172" s="21">
        <v>162</v>
      </c>
      <c r="C172" s="45" t="s">
        <v>598</v>
      </c>
      <c r="D172" s="35">
        <f t="shared" si="10"/>
        <v>42758</v>
      </c>
      <c r="E172" s="36">
        <v>2017</v>
      </c>
      <c r="F172" s="36">
        <v>23</v>
      </c>
      <c r="G172" s="161">
        <v>0.20486111111111099</v>
      </c>
      <c r="H172" s="392">
        <v>0.42361111111111099</v>
      </c>
      <c r="I172" s="393">
        <v>0</v>
      </c>
      <c r="J172" s="164">
        <f t="shared" si="11"/>
        <v>42758</v>
      </c>
      <c r="K172" s="36">
        <v>2017</v>
      </c>
      <c r="L172" s="36">
        <v>23</v>
      </c>
      <c r="M172" s="37">
        <v>0.62847222222222199</v>
      </c>
      <c r="N172" s="499" t="s">
        <v>308</v>
      </c>
      <c r="O172" s="367">
        <f>IF(VALUE(LEFT($R172,3))&lt;192,"",IF(VALUE(LEFT($R172,3))&gt;597,"",VLOOKUP(VALUE(LEFT($R172,3)),'CIRS Table Info'!$B$6:$J$425,2,FALSE)))</f>
        <v>2.85</v>
      </c>
      <c r="P172" s="497" t="str">
        <f>IF(MID(R172,5,3)="",IF(VALUE(LEFT($R172,3))&lt;192,"",IF(VALUE(LEFT($R172,3))&gt;597,"",CONCATENATE(VLOOKUP(VALUE(LEFT($R172,3)),'CIRS Table Info'!$B$6:$J$425,6,FALSE),"/",VLOOKUP(VALUE(LEFT($R172,3)),'CIRS Table Info'!$B$6:$J$425,8,FALSE),IF(VLOOKUP(VALUE(LEFT($R172,3)),'CIRS Table Info'!$B$6:$J$425,9,FALSE)="Closed","/CLOSED","")))),IF(VALUE(MID($R172,5,3))&lt;192,"",IF(VALUE(MID($R172,5,3))&gt;597,"",CONCATENATE(VLOOKUP(VALUE(MID($R172,5,3)),'CIRS Table Info'!$B$6:$J$425,6,FALSE),"/",VLOOKUP(VALUE(MID($R172,5,3)),'CIRS Table Info'!$B$6:$J$425,8,FALSE),IF(VLOOKUP(VALUE(MID($R172,5,3)),'CIRS Table Info'!$B$6:$J$425,9,FALSE)="Closed","/CLOSED","")))))</f>
        <v>Pairs/Pairs</v>
      </c>
      <c r="Q172" s="171"/>
      <c r="R172" s="172">
        <f>VLOOKUP($C172,'CIRS Table IDs'!$B:$P,14,FALSE)</f>
        <v>572</v>
      </c>
      <c r="S172" s="410">
        <v>1580.791504</v>
      </c>
      <c r="T172" s="411">
        <v>98.870092999999997</v>
      </c>
      <c r="V172" s="49"/>
      <c r="W172" s="49"/>
      <c r="X172" s="49"/>
    </row>
    <row r="173" spans="1:24" x14ac:dyDescent="0.2">
      <c r="A173" s="21"/>
      <c r="B173" s="21">
        <v>163</v>
      </c>
      <c r="C173" s="45" t="s">
        <v>599</v>
      </c>
      <c r="D173" s="35">
        <f t="shared" si="10"/>
        <v>42758</v>
      </c>
      <c r="E173" s="36">
        <v>2017</v>
      </c>
      <c r="F173" s="36">
        <v>23</v>
      </c>
      <c r="G173" s="161">
        <v>0.79513888888888895</v>
      </c>
      <c r="H173" s="392">
        <v>0.327777777777778</v>
      </c>
      <c r="I173" s="393">
        <v>0</v>
      </c>
      <c r="J173" s="164">
        <f t="shared" si="11"/>
        <v>42759</v>
      </c>
      <c r="K173" s="36">
        <v>2017</v>
      </c>
      <c r="L173" s="36">
        <v>24</v>
      </c>
      <c r="M173" s="37">
        <v>0.12291666666666699</v>
      </c>
      <c r="N173" s="499" t="s">
        <v>308</v>
      </c>
      <c r="O173" s="367">
        <f>IF(VALUE(LEFT($R173,3))&lt;192,"",IF(VALUE(LEFT($R173,3))&gt;597,"",VLOOKUP(VALUE(LEFT($R173,3)),'CIRS Table Info'!$B$6:$J$425,2,FALSE)))</f>
        <v>2.85</v>
      </c>
      <c r="P173" s="497" t="str">
        <f>IF(MID(R173,5,3)="",IF(VALUE(LEFT($R173,3))&lt;192,"",IF(VALUE(LEFT($R173,3))&gt;597,"",CONCATENATE(VLOOKUP(VALUE(LEFT($R173,3)),'CIRS Table Info'!$B$6:$J$425,6,FALSE),"/",VLOOKUP(VALUE(LEFT($R173,3)),'CIRS Table Info'!$B$6:$J$425,8,FALSE),IF(VLOOKUP(VALUE(LEFT($R173,3)),'CIRS Table Info'!$B$6:$J$425,9,FALSE)="Closed","/CLOSED","")))),IF(VALUE(MID($R173,5,3))&lt;192,"",IF(VALUE(MID($R173,5,3))&gt;597,"",CONCATENATE(VLOOKUP(VALUE(MID($R173,5,3)),'CIRS Table Info'!$B$6:$J$425,6,FALSE),"/",VLOOKUP(VALUE(MID($R173,5,3)),'CIRS Table Info'!$B$6:$J$425,8,FALSE),IF(VLOOKUP(VALUE(MID($R173,5,3)),'CIRS Table Info'!$B$6:$J$425,9,FALSE)="Closed","/CLOSED","")))))</f>
        <v>Pairs/Pairs</v>
      </c>
      <c r="Q173" s="171"/>
      <c r="R173" s="172">
        <f>VLOOKUP($C173,'CIRS Table IDs'!$B:$P,14,FALSE)</f>
        <v>572</v>
      </c>
      <c r="S173" s="410">
        <v>1560.8480219999999</v>
      </c>
      <c r="T173" s="411">
        <v>96.569734999999994</v>
      </c>
      <c r="V173" s="49"/>
      <c r="W173" s="49"/>
      <c r="X173" s="49"/>
    </row>
    <row r="174" spans="1:24" x14ac:dyDescent="0.2">
      <c r="A174" s="477">
        <v>44</v>
      </c>
      <c r="B174" s="477">
        <v>164</v>
      </c>
      <c r="C174" s="478" t="s">
        <v>600</v>
      </c>
      <c r="D174" s="479">
        <f t="shared" si="10"/>
        <v>42759</v>
      </c>
      <c r="E174" s="480">
        <v>2017</v>
      </c>
      <c r="F174" s="480">
        <v>24</v>
      </c>
      <c r="G174" s="481">
        <v>0.75</v>
      </c>
      <c r="H174" s="482">
        <v>0.2578125</v>
      </c>
      <c r="I174" s="483">
        <v>8.59375E-2</v>
      </c>
      <c r="J174" s="484">
        <f t="shared" si="11"/>
        <v>42760</v>
      </c>
      <c r="K174" s="480">
        <v>2017</v>
      </c>
      <c r="L174" s="480">
        <v>25</v>
      </c>
      <c r="M174" s="485">
        <v>9.375E-2</v>
      </c>
      <c r="N174" s="501">
        <v>3000</v>
      </c>
      <c r="O174" s="486" t="str">
        <f>IF(VALUE(LEFT($R174,3))&lt;192,"",IF(VALUE(LEFT($R174,3))&gt;597,"",VLOOKUP(VALUE(LEFT($R174,3)),'CIRS Table Info'!$B$6:$J$425,2,FALSE)))</f>
        <v/>
      </c>
      <c r="P174" s="498" t="str">
        <f>IF(MID(R174,5,3)="",IF(VALUE(LEFT($R174,3))&lt;192,"",IF(VALUE(LEFT($R174,3))&gt;597,"",CONCATENATE(VLOOKUP(VALUE(LEFT($R174,3)),'CIRS Table Info'!$B$6:$J$425,6,FALSE),"/",VLOOKUP(VALUE(LEFT($R174,3)),'CIRS Table Info'!$B$6:$J$425,8,FALSE),IF(VLOOKUP(VALUE(LEFT($R174,3)),'CIRS Table Info'!$B$6:$J$425,9,FALSE)="Closed","/CLOSED","")))),IF(VALUE(MID($R174,5,3))&lt;192,"",IF(VALUE(MID($R174,5,3))&gt;597,"",CONCATENATE(VLOOKUP(VALUE(MID($R174,5,3)),'CIRS Table Info'!$B$6:$J$425,6,FALSE),"/",VLOOKUP(VALUE(MID($R174,5,3)),'CIRS Table Info'!$B$6:$J$425,8,FALSE),IF(VLOOKUP(VALUE(MID($R174,5,3)),'CIRS Table Info'!$B$6:$J$425,9,FALSE)="Closed","/CLOSED","")))))</f>
        <v/>
      </c>
      <c r="Q174" s="487"/>
      <c r="R174" s="488">
        <f>VLOOKUP($C174,'CIRS Table IDs'!$B:$P,14,FALSE)</f>
        <v>913</v>
      </c>
      <c r="S174" s="489">
        <v>1625.2607419999999</v>
      </c>
      <c r="T174" s="490">
        <v>53.192084999999999</v>
      </c>
      <c r="V174" s="49"/>
      <c r="W174" s="49"/>
      <c r="X174" s="49"/>
    </row>
    <row r="175" spans="1:24" x14ac:dyDescent="0.2">
      <c r="A175" s="477">
        <v>45</v>
      </c>
      <c r="B175" s="477">
        <v>165</v>
      </c>
      <c r="C175" s="478" t="s">
        <v>601</v>
      </c>
      <c r="D175" s="479">
        <f t="shared" si="10"/>
        <v>42760</v>
      </c>
      <c r="E175" s="480">
        <v>2017</v>
      </c>
      <c r="F175" s="480">
        <v>25</v>
      </c>
      <c r="G175" s="481">
        <v>0.51041666666666696</v>
      </c>
      <c r="H175" s="482">
        <v>0.234375</v>
      </c>
      <c r="I175" s="483">
        <v>7.8125E-2</v>
      </c>
      <c r="J175" s="484">
        <f t="shared" si="11"/>
        <v>42760</v>
      </c>
      <c r="K175" s="480">
        <v>2017</v>
      </c>
      <c r="L175" s="480">
        <v>25</v>
      </c>
      <c r="M175" s="485">
        <v>0.82291666666666696</v>
      </c>
      <c r="N175" s="501">
        <v>3000</v>
      </c>
      <c r="O175" s="486" t="str">
        <f>IF(VALUE(LEFT($R175,3))&lt;192,"",IF(VALUE(LEFT($R175,3))&gt;597,"",VLOOKUP(VALUE(LEFT($R175,3)),'CIRS Table Info'!$B$6:$J$425,2,FALSE)))</f>
        <v/>
      </c>
      <c r="P175" s="498" t="str">
        <f>IF(MID(R175,5,3)="",IF(VALUE(LEFT($R175,3))&lt;192,"",IF(VALUE(LEFT($R175,3))&gt;597,"",CONCATENATE(VLOOKUP(VALUE(LEFT($R175,3)),'CIRS Table Info'!$B$6:$J$425,6,FALSE),"/",VLOOKUP(VALUE(LEFT($R175,3)),'CIRS Table Info'!$B$6:$J$425,8,FALSE),IF(VLOOKUP(VALUE(LEFT($R175,3)),'CIRS Table Info'!$B$6:$J$425,9,FALSE)="Closed","/CLOSED","")))),IF(VALUE(MID($R175,5,3))&lt;192,"",IF(VALUE(MID($R175,5,3))&gt;597,"",CONCATENATE(VLOOKUP(VALUE(MID($R175,5,3)),'CIRS Table Info'!$B$6:$J$425,6,FALSE),"/",VLOOKUP(VALUE(MID($R175,5,3)),'CIRS Table Info'!$B$6:$J$425,8,FALSE),IF(VLOOKUP(VALUE(MID($R175,5,3)),'CIRS Table Info'!$B$6:$J$425,9,FALSE)="Closed","/CLOSED","")))))</f>
        <v/>
      </c>
      <c r="Q175" s="487"/>
      <c r="R175" s="488">
        <f>VLOOKUP($C175,'CIRS Table IDs'!$B:$P,14,FALSE)</f>
        <v>914</v>
      </c>
      <c r="S175" s="489">
        <v>1624.715942</v>
      </c>
      <c r="T175" s="490">
        <v>55.049765000000001</v>
      </c>
      <c r="V175" s="49"/>
      <c r="W175" s="49"/>
      <c r="X175" s="49"/>
    </row>
    <row r="176" spans="1:24" x14ac:dyDescent="0.2">
      <c r="A176" s="477">
        <v>46</v>
      </c>
      <c r="B176" s="477">
        <v>166</v>
      </c>
      <c r="C176" s="478" t="s">
        <v>602</v>
      </c>
      <c r="D176" s="479">
        <f t="shared" si="10"/>
        <v>42761</v>
      </c>
      <c r="E176" s="480">
        <v>2017</v>
      </c>
      <c r="F176" s="480">
        <v>26</v>
      </c>
      <c r="G176" s="481">
        <v>0.76111111111111096</v>
      </c>
      <c r="H176" s="482">
        <v>0.25</v>
      </c>
      <c r="I176" s="483">
        <v>8.3333333333333301E-2</v>
      </c>
      <c r="J176" s="484">
        <f t="shared" si="11"/>
        <v>42762</v>
      </c>
      <c r="K176" s="480">
        <v>2017</v>
      </c>
      <c r="L176" s="480">
        <v>27</v>
      </c>
      <c r="M176" s="485">
        <v>9.44444444444444E-2</v>
      </c>
      <c r="N176" s="501">
        <v>3000</v>
      </c>
      <c r="O176" s="486" t="str">
        <f>IF(VALUE(LEFT($R176,3))&lt;192,"",IF(VALUE(LEFT($R176,3))&gt;597,"",VLOOKUP(VALUE(LEFT($R176,3)),'CIRS Table Info'!$B$6:$J$425,2,FALSE)))</f>
        <v/>
      </c>
      <c r="P176" s="498" t="str">
        <f>IF(MID(R176,5,3)="",IF(VALUE(LEFT($R176,3))&lt;192,"",IF(VALUE(LEFT($R176,3))&gt;597,"",CONCATENATE(VLOOKUP(VALUE(LEFT($R176,3)),'CIRS Table Info'!$B$6:$J$425,6,FALSE),"/",VLOOKUP(VALUE(LEFT($R176,3)),'CIRS Table Info'!$B$6:$J$425,8,FALSE),IF(VLOOKUP(VALUE(LEFT($R176,3)),'CIRS Table Info'!$B$6:$J$425,9,FALSE)="Closed","/CLOSED","")))),IF(VALUE(MID($R176,5,3))&lt;192,"",IF(VALUE(MID($R176,5,3))&gt;597,"",CONCATENATE(VLOOKUP(VALUE(MID($R176,5,3)),'CIRS Table Info'!$B$6:$J$425,6,FALSE),"/",VLOOKUP(VALUE(MID($R176,5,3)),'CIRS Table Info'!$B$6:$J$425,8,FALSE),IF(VLOOKUP(VALUE(MID($R176,5,3)),'CIRS Table Info'!$B$6:$J$425,9,FALSE)="Closed","/CLOSED","")))))</f>
        <v/>
      </c>
      <c r="Q176" s="487"/>
      <c r="R176" s="488">
        <f>VLOOKUP($C176,'CIRS Table IDs'!$B:$P,14,FALSE)</f>
        <v>915</v>
      </c>
      <c r="S176" s="489">
        <v>1626.073975</v>
      </c>
      <c r="T176" s="490">
        <v>54.000836999999997</v>
      </c>
      <c r="V176" s="49"/>
      <c r="W176" s="49"/>
      <c r="X176" s="49"/>
    </row>
    <row r="177" spans="1:24" x14ac:dyDescent="0.2">
      <c r="A177" s="477">
        <v>47</v>
      </c>
      <c r="B177" s="477">
        <v>167</v>
      </c>
      <c r="C177" s="478" t="s">
        <v>603</v>
      </c>
      <c r="D177" s="479">
        <f t="shared" si="10"/>
        <v>42762</v>
      </c>
      <c r="E177" s="480">
        <v>2017</v>
      </c>
      <c r="F177" s="480">
        <v>27</v>
      </c>
      <c r="G177" s="481">
        <v>0.75555555555555598</v>
      </c>
      <c r="H177" s="482">
        <v>0.25</v>
      </c>
      <c r="I177" s="483">
        <v>8.3333333333333301E-2</v>
      </c>
      <c r="J177" s="484">
        <f t="shared" si="11"/>
        <v>42763</v>
      </c>
      <c r="K177" s="480">
        <v>2017</v>
      </c>
      <c r="L177" s="480">
        <v>28</v>
      </c>
      <c r="M177" s="485">
        <v>8.8888888888888906E-2</v>
      </c>
      <c r="N177" s="501">
        <v>3000</v>
      </c>
      <c r="O177" s="486" t="str">
        <f>IF(VALUE(LEFT($R177,3))&lt;192,"",IF(VALUE(LEFT($R177,3))&gt;597,"",VLOOKUP(VALUE(LEFT($R177,3)),'CIRS Table Info'!$B$6:$J$425,2,FALSE)))</f>
        <v/>
      </c>
      <c r="P177" s="498" t="str">
        <f>IF(MID(R177,5,3)="",IF(VALUE(LEFT($R177,3))&lt;192,"",IF(VALUE(LEFT($R177,3))&gt;597,"",CONCATENATE(VLOOKUP(VALUE(LEFT($R177,3)),'CIRS Table Info'!$B$6:$J$425,6,FALSE),"/",VLOOKUP(VALUE(LEFT($R177,3)),'CIRS Table Info'!$B$6:$J$425,8,FALSE),IF(VLOOKUP(VALUE(LEFT($R177,3)),'CIRS Table Info'!$B$6:$J$425,9,FALSE)="Closed","/CLOSED","")))),IF(VALUE(MID($R177,5,3))&lt;192,"",IF(VALUE(MID($R177,5,3))&gt;597,"",CONCATENATE(VLOOKUP(VALUE(MID($R177,5,3)),'CIRS Table Info'!$B$6:$J$425,6,FALSE),"/",VLOOKUP(VALUE(MID($R177,5,3)),'CIRS Table Info'!$B$6:$J$425,8,FALSE),IF(VLOOKUP(VALUE(MID($R177,5,3)),'CIRS Table Info'!$B$6:$J$425,9,FALSE)="Closed","/CLOSED","")))))</f>
        <v/>
      </c>
      <c r="Q177" s="487"/>
      <c r="R177" s="488">
        <f>VLOOKUP($C177,'CIRS Table IDs'!$B:$P,14,FALSE)</f>
        <v>916</v>
      </c>
      <c r="S177" s="489">
        <v>1624.246582</v>
      </c>
      <c r="T177" s="490">
        <v>55.299728999999999</v>
      </c>
      <c r="V177" s="49"/>
      <c r="W177" s="49"/>
      <c r="X177" s="49"/>
    </row>
    <row r="178" spans="1:24" x14ac:dyDescent="0.2">
      <c r="A178" s="477">
        <v>48</v>
      </c>
      <c r="B178" s="477">
        <v>168</v>
      </c>
      <c r="C178" s="478" t="s">
        <v>604</v>
      </c>
      <c r="D178" s="479">
        <f t="shared" si="10"/>
        <v>42763</v>
      </c>
      <c r="E178" s="480">
        <v>2017</v>
      </c>
      <c r="F178" s="480">
        <v>28</v>
      </c>
      <c r="G178" s="481">
        <v>0.75555555555555598</v>
      </c>
      <c r="H178" s="482">
        <v>0.25</v>
      </c>
      <c r="I178" s="483">
        <v>8.3333333333333301E-2</v>
      </c>
      <c r="J178" s="484">
        <f t="shared" si="11"/>
        <v>42764</v>
      </c>
      <c r="K178" s="480">
        <v>2017</v>
      </c>
      <c r="L178" s="480">
        <v>29</v>
      </c>
      <c r="M178" s="485">
        <v>8.8888888888888906E-2</v>
      </c>
      <c r="N178" s="501">
        <v>3000</v>
      </c>
      <c r="O178" s="486" t="str">
        <f>IF(VALUE(LEFT($R178,3))&lt;192,"",IF(VALUE(LEFT($R178,3))&gt;597,"",VLOOKUP(VALUE(LEFT($R178,3)),'CIRS Table Info'!$B$6:$J$425,2,FALSE)))</f>
        <v/>
      </c>
      <c r="P178" s="498" t="str">
        <f>IF(MID(R178,5,3)="",IF(VALUE(LEFT($R178,3))&lt;192,"",IF(VALUE(LEFT($R178,3))&gt;597,"",CONCATENATE(VLOOKUP(VALUE(LEFT($R178,3)),'CIRS Table Info'!$B$6:$J$425,6,FALSE),"/",VLOOKUP(VALUE(LEFT($R178,3)),'CIRS Table Info'!$B$6:$J$425,8,FALSE),IF(VLOOKUP(VALUE(LEFT($R178,3)),'CIRS Table Info'!$B$6:$J$425,9,FALSE)="Closed","/CLOSED","")))),IF(VALUE(MID($R178,5,3))&lt;192,"",IF(VALUE(MID($R178,5,3))&gt;597,"",CONCATENATE(VLOOKUP(VALUE(MID($R178,5,3)),'CIRS Table Info'!$B$6:$J$425,6,FALSE),"/",VLOOKUP(VALUE(MID($R178,5,3)),'CIRS Table Info'!$B$6:$J$425,8,FALSE),IF(VLOOKUP(VALUE(MID($R178,5,3)),'CIRS Table Info'!$B$6:$J$425,9,FALSE)="Closed","/CLOSED","")))))</f>
        <v/>
      </c>
      <c r="Q178" s="487"/>
      <c r="R178" s="488">
        <f>VLOOKUP($C178,'CIRS Table IDs'!$B:$P,14,FALSE)</f>
        <v>917</v>
      </c>
      <c r="S178" s="489">
        <v>1621.4970699999999</v>
      </c>
      <c r="T178" s="490">
        <v>60.741925000000002</v>
      </c>
      <c r="V178" s="49"/>
      <c r="W178" s="49"/>
      <c r="X178" s="49"/>
    </row>
    <row r="179" spans="1:24" x14ac:dyDescent="0.2">
      <c r="A179" s="21"/>
      <c r="B179" s="21">
        <v>169</v>
      </c>
      <c r="C179" s="45" t="s">
        <v>605</v>
      </c>
      <c r="D179" s="35">
        <f t="shared" si="10"/>
        <v>42764</v>
      </c>
      <c r="E179" s="36">
        <v>2017</v>
      </c>
      <c r="F179" s="36">
        <v>29</v>
      </c>
      <c r="G179" s="161">
        <v>8.8888888888888906E-2</v>
      </c>
      <c r="H179" s="392">
        <v>6.25E-2</v>
      </c>
      <c r="I179" s="393">
        <v>0</v>
      </c>
      <c r="J179" s="164">
        <f t="shared" si="11"/>
        <v>42764</v>
      </c>
      <c r="K179" s="36">
        <v>2017</v>
      </c>
      <c r="L179" s="36">
        <v>29</v>
      </c>
      <c r="M179" s="37">
        <v>0.15138888888888899</v>
      </c>
      <c r="N179" s="499" t="s">
        <v>307</v>
      </c>
      <c r="O179" s="367">
        <f>IF(VALUE(LEFT($R179,3))&lt;192,"",IF(VALUE(LEFT($R179,3))&gt;597,"",VLOOKUP(VALUE(LEFT($R179,3)),'CIRS Table Info'!$B$6:$J$425,2,FALSE)))</f>
        <v>0.53</v>
      </c>
      <c r="P179" s="497" t="str">
        <f>IF(MID(R179,5,3)="",IF(VALUE(LEFT($R179,3))&lt;192,"",IF(VALUE(LEFT($R179,3))&gt;597,"",CONCATENATE(VLOOKUP(VALUE(LEFT($R179,3)),'CIRS Table Info'!$B$6:$J$425,6,FALSE),"/",VLOOKUP(VALUE(LEFT($R179,3)),'CIRS Table Info'!$B$6:$J$425,8,FALSE),IF(VLOOKUP(VALUE(LEFT($R179,3)),'CIRS Table Info'!$B$6:$J$425,9,FALSE)="Closed","/CLOSED","")))),IF(VALUE(MID($R179,5,3))&lt;192,"",IF(VALUE(MID($R179,5,3))&gt;597,"",CONCATENATE(VLOOKUP(VALUE(MID($R179,5,3)),'CIRS Table Info'!$B$6:$J$425,6,FALSE),"/",VLOOKUP(VALUE(MID($R179,5,3)),'CIRS Table Info'!$B$6:$J$425,8,FALSE),IF(VLOOKUP(VALUE(MID($R179,5,3)),'CIRS Table Info'!$B$6:$J$425,9,FALSE)="Closed","/CLOSED","")))))</f>
        <v>Blink/Blink</v>
      </c>
      <c r="Q179" s="171"/>
      <c r="R179" s="172">
        <f>VLOOKUP($C179,'CIRS Table IDs'!$B:$P,14,FALSE)</f>
        <v>341</v>
      </c>
      <c r="S179" s="410">
        <v>1406.3348390000001</v>
      </c>
      <c r="T179" s="411">
        <v>96.631926000000007</v>
      </c>
      <c r="V179" s="49"/>
      <c r="W179" s="49"/>
      <c r="X179" s="49"/>
    </row>
    <row r="180" spans="1:24" x14ac:dyDescent="0.2">
      <c r="A180" s="477">
        <v>49</v>
      </c>
      <c r="B180" s="477">
        <v>170</v>
      </c>
      <c r="C180" s="478" t="s">
        <v>606</v>
      </c>
      <c r="D180" s="479">
        <f t="shared" si="10"/>
        <v>42764</v>
      </c>
      <c r="E180" s="480">
        <v>2017</v>
      </c>
      <c r="F180" s="480">
        <v>29</v>
      </c>
      <c r="G180" s="481">
        <v>0.68333333333333302</v>
      </c>
      <c r="H180" s="482">
        <v>0.35104166666666697</v>
      </c>
      <c r="I180" s="483">
        <v>0.117013888888889</v>
      </c>
      <c r="J180" s="484">
        <f t="shared" si="11"/>
        <v>42765</v>
      </c>
      <c r="K180" s="480">
        <v>2017</v>
      </c>
      <c r="L180" s="480">
        <v>30</v>
      </c>
      <c r="M180" s="485">
        <v>0.15138888888888899</v>
      </c>
      <c r="N180" s="501">
        <v>3000</v>
      </c>
      <c r="O180" s="486" t="str">
        <f>IF(VALUE(LEFT($R180,3))&lt;192,"",IF(VALUE(LEFT($R180,3))&gt;597,"",VLOOKUP(VALUE(LEFT($R180,3)),'CIRS Table Info'!$B$6:$J$425,2,FALSE)))</f>
        <v/>
      </c>
      <c r="P180" s="498" t="str">
        <f>IF(MID(R180,5,3)="",IF(VALUE(LEFT($R180,3))&lt;192,"",IF(VALUE(LEFT($R180,3))&gt;597,"",CONCATENATE(VLOOKUP(VALUE(LEFT($R180,3)),'CIRS Table Info'!$B$6:$J$425,6,FALSE),"/",VLOOKUP(VALUE(LEFT($R180,3)),'CIRS Table Info'!$B$6:$J$425,8,FALSE),IF(VLOOKUP(VALUE(LEFT($R180,3)),'CIRS Table Info'!$B$6:$J$425,9,FALSE)="Closed","/CLOSED","")))),IF(VALUE(MID($R180,5,3))&lt;192,"",IF(VALUE(MID($R180,5,3))&gt;597,"",CONCATENATE(VLOOKUP(VALUE(MID($R180,5,3)),'CIRS Table Info'!$B$6:$J$425,6,FALSE),"/",VLOOKUP(VALUE(MID($R180,5,3)),'CIRS Table Info'!$B$6:$J$425,8,FALSE),IF(VLOOKUP(VALUE(MID($R180,5,3)),'CIRS Table Info'!$B$6:$J$425,9,FALSE)="Closed","/CLOSED","")))))</f>
        <v/>
      </c>
      <c r="Q180" s="487"/>
      <c r="R180" s="488">
        <f>VLOOKUP($C180,'CIRS Table IDs'!$B:$P,14,FALSE)</f>
        <v>919</v>
      </c>
      <c r="S180" s="489">
        <v>1412.7242429999999</v>
      </c>
      <c r="T180" s="490">
        <v>51.236277999999999</v>
      </c>
      <c r="V180" s="49"/>
      <c r="W180" s="49"/>
      <c r="X180" s="49"/>
    </row>
    <row r="181" spans="1:24" x14ac:dyDescent="0.2">
      <c r="A181" s="21"/>
      <c r="B181" s="21">
        <v>171</v>
      </c>
      <c r="C181" s="45" t="s">
        <v>607</v>
      </c>
      <c r="D181" s="35">
        <f t="shared" si="10"/>
        <v>42765</v>
      </c>
      <c r="E181" s="36">
        <v>2017</v>
      </c>
      <c r="F181" s="36">
        <v>30</v>
      </c>
      <c r="G181" s="161">
        <v>0.15138888888888899</v>
      </c>
      <c r="H181" s="392">
        <v>0.11111111111111099</v>
      </c>
      <c r="I181" s="393">
        <v>0</v>
      </c>
      <c r="J181" s="164">
        <f t="shared" si="11"/>
        <v>42765</v>
      </c>
      <c r="K181" s="36">
        <v>2017</v>
      </c>
      <c r="L181" s="36">
        <v>30</v>
      </c>
      <c r="M181" s="37">
        <v>0.26250000000000001</v>
      </c>
      <c r="N181" s="499" t="s">
        <v>307</v>
      </c>
      <c r="O181" s="367">
        <f>IF(VALUE(LEFT($R181,3))&lt;192,"",IF(VALUE(LEFT($R181,3))&gt;597,"",VLOOKUP(VALUE(LEFT($R181,3)),'CIRS Table Info'!$B$6:$J$425,2,FALSE)))</f>
        <v>15.67</v>
      </c>
      <c r="P181" s="497" t="str">
        <f>IF(MID(R181,5,3)="",IF(VALUE(LEFT($R181,3))&lt;192,"",IF(VALUE(LEFT($R181,3))&gt;597,"",CONCATENATE(VLOOKUP(VALUE(LEFT($R181,3)),'CIRS Table Info'!$B$6:$J$425,6,FALSE),"/",VLOOKUP(VALUE(LEFT($R181,3)),'CIRS Table Info'!$B$6:$J$425,8,FALSE),IF(VLOOKUP(VALUE(LEFT($R181,3)),'CIRS Table Info'!$B$6:$J$425,9,FALSE)="Closed","/CLOSED","")))),IF(VALUE(MID($R181,5,3))&lt;192,"",IF(VALUE(MID($R181,5,3))&gt;597,"",CONCATENATE(VLOOKUP(VALUE(MID($R181,5,3)),'CIRS Table Info'!$B$6:$J$425,6,FALSE),"/",VLOOKUP(VALUE(MID($R181,5,3)),'CIRS Table Info'!$B$6:$J$425,8,FALSE),IF(VLOOKUP(VALUE(MID($R181,5,3)),'CIRS Table Info'!$B$6:$J$425,9,FALSE)="Closed","/CLOSED","")))))</f>
        <v>Blink/Blink</v>
      </c>
      <c r="Q181" s="171"/>
      <c r="R181" s="172">
        <f>VLOOKUP($C181,'CIRS Table IDs'!$B:$P,14,FALSE)</f>
        <v>405</v>
      </c>
      <c r="S181" s="410">
        <v>1477.7248540000001</v>
      </c>
      <c r="T181" s="411">
        <v>98.832916999999995</v>
      </c>
      <c r="V181" s="49"/>
      <c r="W181" s="49"/>
      <c r="X181" s="49"/>
    </row>
    <row r="182" spans="1:24" x14ac:dyDescent="0.2">
      <c r="A182" s="21"/>
      <c r="B182" s="21">
        <v>172</v>
      </c>
      <c r="C182" s="45" t="s">
        <v>608</v>
      </c>
      <c r="D182" s="35">
        <f t="shared" si="10"/>
        <v>42765</v>
      </c>
      <c r="E182" s="36">
        <v>2017</v>
      </c>
      <c r="F182" s="36">
        <v>30</v>
      </c>
      <c r="G182" s="161">
        <v>0.26250000000000001</v>
      </c>
      <c r="H182" s="392">
        <v>6.0416666666666702E-2</v>
      </c>
      <c r="I182" s="393">
        <v>0</v>
      </c>
      <c r="J182" s="164">
        <f t="shared" si="11"/>
        <v>42765</v>
      </c>
      <c r="K182" s="36">
        <v>2017</v>
      </c>
      <c r="L182" s="36">
        <v>30</v>
      </c>
      <c r="M182" s="37">
        <v>0.32291666666666702</v>
      </c>
      <c r="N182" s="499" t="s">
        <v>307</v>
      </c>
      <c r="O182" s="367">
        <f>IF(VALUE(LEFT($R182,3))&lt;192,"",IF(VALUE(LEFT($R182,3))&gt;597,"",VLOOKUP(VALUE(LEFT($R182,3)),'CIRS Table Info'!$B$6:$J$425,2,FALSE)))</f>
        <v>15.67</v>
      </c>
      <c r="P182" s="497" t="str">
        <f>IF(MID(R182,5,3)="",IF(VALUE(LEFT($R182,3))&lt;192,"",IF(VALUE(LEFT($R182,3))&gt;597,"",CONCATENATE(VLOOKUP(VALUE(LEFT($R182,3)),'CIRS Table Info'!$B$6:$J$425,6,FALSE),"/",VLOOKUP(VALUE(LEFT($R182,3)),'CIRS Table Info'!$B$6:$J$425,8,FALSE),IF(VLOOKUP(VALUE(LEFT($R182,3)),'CIRS Table Info'!$B$6:$J$425,9,FALSE)="Closed","/CLOSED","")))),IF(VALUE(MID($R182,5,3))&lt;192,"",IF(VALUE(MID($R182,5,3))&gt;597,"",CONCATENATE(VLOOKUP(VALUE(MID($R182,5,3)),'CIRS Table Info'!$B$6:$J$425,6,FALSE),"/",VLOOKUP(VALUE(MID($R182,5,3)),'CIRS Table Info'!$B$6:$J$425,8,FALSE),IF(VLOOKUP(VALUE(MID($R182,5,3)),'CIRS Table Info'!$B$6:$J$425,9,FALSE)="Closed","/CLOSED","")))))</f>
        <v>Blink/Blink</v>
      </c>
      <c r="Q182" s="171"/>
      <c r="R182" s="172">
        <f>VLOOKUP($C182,'CIRS Table IDs'!$B:$P,14,FALSE)</f>
        <v>405</v>
      </c>
      <c r="S182" s="410">
        <v>1534.5791019999999</v>
      </c>
      <c r="T182" s="411">
        <v>92.668188000000001</v>
      </c>
      <c r="V182" s="49"/>
      <c r="W182" s="49"/>
      <c r="X182" s="49"/>
    </row>
    <row r="183" spans="1:24" x14ac:dyDescent="0.2">
      <c r="A183" s="21"/>
      <c r="B183" s="21">
        <v>173</v>
      </c>
      <c r="C183" s="45" t="s">
        <v>609</v>
      </c>
      <c r="D183" s="35">
        <f t="shared" si="10"/>
        <v>42765</v>
      </c>
      <c r="E183" s="36">
        <v>2017</v>
      </c>
      <c r="F183" s="36">
        <v>30</v>
      </c>
      <c r="G183" s="161">
        <v>0.32291666666666702</v>
      </c>
      <c r="H183" s="392">
        <v>0.45833333333333298</v>
      </c>
      <c r="I183" s="393">
        <v>0</v>
      </c>
      <c r="J183" s="164">
        <f t="shared" si="11"/>
        <v>42765</v>
      </c>
      <c r="K183" s="36">
        <v>2017</v>
      </c>
      <c r="L183" s="36">
        <v>30</v>
      </c>
      <c r="M183" s="37">
        <v>0.78125</v>
      </c>
      <c r="N183" s="499" t="s">
        <v>308</v>
      </c>
      <c r="O183" s="367">
        <f>IF(VALUE(LEFT($R183,3))&lt;192,"",IF(VALUE(LEFT($R183,3))&gt;597,"",VLOOKUP(VALUE(LEFT($R183,3)),'CIRS Table Info'!$B$6:$J$425,2,FALSE)))</f>
        <v>2.85</v>
      </c>
      <c r="P183" s="497" t="str">
        <f>IF(MID(R183,5,3)="",IF(VALUE(LEFT($R183,3))&lt;192,"",IF(VALUE(LEFT($R183,3))&gt;597,"",CONCATENATE(VLOOKUP(VALUE(LEFT($R183,3)),'CIRS Table Info'!$B$6:$J$425,6,FALSE),"/",VLOOKUP(VALUE(LEFT($R183,3)),'CIRS Table Info'!$B$6:$J$425,8,FALSE),IF(VLOOKUP(VALUE(LEFT($R183,3)),'CIRS Table Info'!$B$6:$J$425,9,FALSE)="Closed","/CLOSED","")))),IF(VALUE(MID($R183,5,3))&lt;192,"",IF(VALUE(MID($R183,5,3))&gt;597,"",CONCATENATE(VLOOKUP(VALUE(MID($R183,5,3)),'CIRS Table Info'!$B$6:$J$425,6,FALSE),"/",VLOOKUP(VALUE(MID($R183,5,3)),'CIRS Table Info'!$B$6:$J$425,8,FALSE),IF(VLOOKUP(VALUE(MID($R183,5,3)),'CIRS Table Info'!$B$6:$J$425,9,FALSE)="Closed","/CLOSED","")))))</f>
        <v>Pairs/Pairs</v>
      </c>
      <c r="Q183" s="171"/>
      <c r="R183" s="172">
        <f>VLOOKUP($C183,'CIRS Table IDs'!$B:$P,14,FALSE)</f>
        <v>572</v>
      </c>
      <c r="S183" s="410">
        <v>1828.5008539999999</v>
      </c>
      <c r="T183" s="411">
        <v>78.689252999999994</v>
      </c>
      <c r="V183" s="49"/>
      <c r="W183" s="49"/>
      <c r="X183" s="49"/>
    </row>
    <row r="184" spans="1:24" ht="15.75" x14ac:dyDescent="0.25">
      <c r="A184" s="526"/>
      <c r="B184" s="526">
        <v>174</v>
      </c>
      <c r="C184" s="527" t="s">
        <v>610</v>
      </c>
      <c r="D184" s="528">
        <f t="shared" si="10"/>
        <v>42765</v>
      </c>
      <c r="E184" s="529">
        <v>2017</v>
      </c>
      <c r="F184" s="529">
        <v>30</v>
      </c>
      <c r="G184" s="530">
        <v>0.78125</v>
      </c>
      <c r="H184" s="531">
        <v>2.5694444444444402E-2</v>
      </c>
      <c r="I184" s="532">
        <v>0</v>
      </c>
      <c r="J184" s="533">
        <f t="shared" si="11"/>
        <v>42765</v>
      </c>
      <c r="K184" s="529">
        <v>2017</v>
      </c>
      <c r="L184" s="529">
        <v>30</v>
      </c>
      <c r="M184" s="534">
        <v>0.80694444444444402</v>
      </c>
      <c r="N184" s="535" t="s">
        <v>307</v>
      </c>
      <c r="O184" s="536">
        <f>IF(VALUE(LEFT($R184,3))&lt;192,"",IF(VALUE(LEFT($R184,3))&gt;597,"",VLOOKUP(VALUE(LEFT($R184,3)),'CIRS Table Info'!$B$6:$J$425,2,FALSE)))</f>
        <v>15.67</v>
      </c>
      <c r="P184" s="537" t="str">
        <f>IF(MID(R184,5,3)="",IF(VALUE(LEFT($R184,3))&lt;192,"",IF(VALUE(LEFT($R184,3))&gt;597,"",CONCATENATE(VLOOKUP(VALUE(LEFT($R184,3)),'CIRS Table Info'!$B$6:$J$425,6,FALSE),"/",VLOOKUP(VALUE(LEFT($R184,3)),'CIRS Table Info'!$B$6:$J$425,8,FALSE),IF(VLOOKUP(VALUE(LEFT($R184,3)),'CIRS Table Info'!$B$6:$J$425,9,FALSE)="Closed","/CLOSED","")))),IF(VALUE(MID($R184,5,3))&lt;192,"",IF(VALUE(MID($R184,5,3))&gt;597,"",CONCATENATE(VLOOKUP(VALUE(MID($R184,5,3)),'CIRS Table Info'!$B$6:$J$425,6,FALSE),"/",VLOOKUP(VALUE(MID($R184,5,3)),'CIRS Table Info'!$B$6:$J$425,8,FALSE),IF(VLOOKUP(VALUE(MID($R184,5,3)),'CIRS Table Info'!$B$6:$J$425,9,FALSE)="Closed","/CLOSED","")))))</f>
        <v>Blink/Blink</v>
      </c>
      <c r="Q184" s="538"/>
      <c r="R184" s="539">
        <f>VLOOKUP($C184,'CIRS Table IDs'!$B:$P,14,FALSE)</f>
        <v>355</v>
      </c>
      <c r="S184" s="540">
        <v>1837.0170900000001</v>
      </c>
      <c r="T184" s="411">
        <v>49.293008</v>
      </c>
      <c r="V184" s="49"/>
      <c r="W184" s="49"/>
      <c r="X184" s="49"/>
    </row>
    <row r="185" spans="1:24" x14ac:dyDescent="0.2">
      <c r="A185" s="21"/>
      <c r="B185" s="21">
        <v>175</v>
      </c>
      <c r="C185" s="45" t="s">
        <v>611</v>
      </c>
      <c r="D185" s="35">
        <f t="shared" si="10"/>
        <v>42765</v>
      </c>
      <c r="E185" s="36">
        <v>2017</v>
      </c>
      <c r="F185" s="36">
        <v>30</v>
      </c>
      <c r="G185" s="161">
        <v>0.80694444444444402</v>
      </c>
      <c r="H185" s="392">
        <v>7.6388888888888895E-2</v>
      </c>
      <c r="I185" s="393">
        <v>0</v>
      </c>
      <c r="J185" s="164">
        <f t="shared" si="11"/>
        <v>42765</v>
      </c>
      <c r="K185" s="36">
        <v>2017</v>
      </c>
      <c r="L185" s="36">
        <v>30</v>
      </c>
      <c r="M185" s="37">
        <v>0.88333333333333297</v>
      </c>
      <c r="N185" s="499" t="s">
        <v>307</v>
      </c>
      <c r="O185" s="367">
        <f>IF(VALUE(LEFT($R185,3))&lt;192,"",IF(VALUE(LEFT($R185,3))&gt;597,"",VLOOKUP(VALUE(LEFT($R185,3)),'CIRS Table Info'!$B$6:$J$425,2,FALSE)))</f>
        <v>15.67</v>
      </c>
      <c r="P185" s="497" t="str">
        <f>IF(MID(R185,5,3)="",IF(VALUE(LEFT($R185,3))&lt;192,"",IF(VALUE(LEFT($R185,3))&gt;597,"",CONCATENATE(VLOOKUP(VALUE(LEFT($R185,3)),'CIRS Table Info'!$B$6:$J$425,6,FALSE),"/",VLOOKUP(VALUE(LEFT($R185,3)),'CIRS Table Info'!$B$6:$J$425,8,FALSE),IF(VLOOKUP(VALUE(LEFT($R185,3)),'CIRS Table Info'!$B$6:$J$425,9,FALSE)="Closed","/CLOSED","")))),IF(VALUE(MID($R185,5,3))&lt;192,"",IF(VALUE(MID($R185,5,3))&gt;597,"",CONCATENATE(VLOOKUP(VALUE(MID($R185,5,3)),'CIRS Table Info'!$B$6:$J$425,6,FALSE),"/",VLOOKUP(VALUE(MID($R185,5,3)),'CIRS Table Info'!$B$6:$J$425,8,FALSE),IF(VLOOKUP(VALUE(MID($R185,5,3)),'CIRS Table Info'!$B$6:$J$425,9,FALSE)="Closed","/CLOSED","")))))</f>
        <v>Blink/Blink</v>
      </c>
      <c r="Q185" s="171"/>
      <c r="R185" s="172">
        <f>VLOOKUP($C185,'CIRS Table IDs'!$B:$P,14,FALSE)</f>
        <v>405</v>
      </c>
      <c r="S185" s="410">
        <v>1419.572754</v>
      </c>
      <c r="T185" s="411">
        <v>99.333333999999994</v>
      </c>
      <c r="V185" s="49"/>
      <c r="W185" s="49"/>
      <c r="X185" s="49"/>
    </row>
    <row r="186" spans="1:24" x14ac:dyDescent="0.2">
      <c r="A186" s="21"/>
      <c r="B186" s="21">
        <v>176</v>
      </c>
      <c r="C186" s="45" t="s">
        <v>612</v>
      </c>
      <c r="D186" s="35">
        <f t="shared" si="10"/>
        <v>42765</v>
      </c>
      <c r="E186" s="36">
        <v>2017</v>
      </c>
      <c r="F186" s="36">
        <v>30</v>
      </c>
      <c r="G186" s="161">
        <v>0.88333333333333297</v>
      </c>
      <c r="H186" s="392">
        <v>8.8888888888888906E-2</v>
      </c>
      <c r="I186" s="393">
        <v>0</v>
      </c>
      <c r="J186" s="164">
        <f t="shared" si="11"/>
        <v>42765</v>
      </c>
      <c r="K186" s="36">
        <v>2017</v>
      </c>
      <c r="L186" s="36">
        <v>30</v>
      </c>
      <c r="M186" s="37">
        <v>0.97222222222222199</v>
      </c>
      <c r="N186" s="499" t="s">
        <v>307</v>
      </c>
      <c r="O186" s="367">
        <f>IF(VALUE(LEFT($R186,3))&lt;192,"",IF(VALUE(LEFT($R186,3))&gt;597,"",VLOOKUP(VALUE(LEFT($R186,3)),'CIRS Table Info'!$B$6:$J$425,2,FALSE)))</f>
        <v>15.67</v>
      </c>
      <c r="P186" s="497" t="str">
        <f>IF(MID(R186,5,3)="",IF(VALUE(LEFT($R186,3))&lt;192,"",IF(VALUE(LEFT($R186,3))&gt;597,"",CONCATENATE(VLOOKUP(VALUE(LEFT($R186,3)),'CIRS Table Info'!$B$6:$J$425,6,FALSE),"/",VLOOKUP(VALUE(LEFT($R186,3)),'CIRS Table Info'!$B$6:$J$425,8,FALSE),IF(VLOOKUP(VALUE(LEFT($R186,3)),'CIRS Table Info'!$B$6:$J$425,9,FALSE)="Closed","/CLOSED","")))),IF(VALUE(MID($R186,5,3))&lt;192,"",IF(VALUE(MID($R186,5,3))&gt;597,"",CONCATENATE(VLOOKUP(VALUE(MID($R186,5,3)),'CIRS Table Info'!$B$6:$J$425,6,FALSE),"/",VLOOKUP(VALUE(MID($R186,5,3)),'CIRS Table Info'!$B$6:$J$425,8,FALSE),IF(VLOOKUP(VALUE(MID($R186,5,3)),'CIRS Table Info'!$B$6:$J$425,9,FALSE)="Closed","/CLOSED","")))))</f>
        <v>Blink/Blink</v>
      </c>
      <c r="Q186" s="171"/>
      <c r="R186" s="172">
        <f>VLOOKUP($C186,'CIRS Table IDs'!$B:$P,14,FALSE)</f>
        <v>405</v>
      </c>
      <c r="S186" s="410">
        <v>1506.4938959999999</v>
      </c>
      <c r="T186" s="411">
        <v>94.855367999999999</v>
      </c>
      <c r="V186" s="49"/>
      <c r="W186" s="49"/>
      <c r="X186" s="49"/>
    </row>
    <row r="187" spans="1:24" x14ac:dyDescent="0.2">
      <c r="A187" s="21"/>
      <c r="B187" s="21">
        <v>177</v>
      </c>
      <c r="C187" s="45" t="s">
        <v>613</v>
      </c>
      <c r="D187" s="35">
        <f t="shared" si="10"/>
        <v>42765</v>
      </c>
      <c r="E187" s="36">
        <v>2017</v>
      </c>
      <c r="F187" s="36">
        <v>30</v>
      </c>
      <c r="G187" s="161">
        <v>0.97222222222222199</v>
      </c>
      <c r="H187" s="392">
        <v>0.36111111111111099</v>
      </c>
      <c r="I187" s="393">
        <v>0</v>
      </c>
      <c r="J187" s="164">
        <f t="shared" si="11"/>
        <v>42766</v>
      </c>
      <c r="K187" s="36">
        <v>2017</v>
      </c>
      <c r="L187" s="36">
        <v>31</v>
      </c>
      <c r="M187" s="37">
        <v>0.33333333333333298</v>
      </c>
      <c r="N187" s="499" t="s">
        <v>307</v>
      </c>
      <c r="O187" s="367">
        <v>15.67</v>
      </c>
      <c r="P187" s="497" t="s">
        <v>680</v>
      </c>
      <c r="Q187" s="171"/>
      <c r="R187" s="172">
        <f>VLOOKUP($C187,'CIRS Table IDs'!$B:$P,14,FALSE)</f>
        <v>926</v>
      </c>
      <c r="S187" s="410">
        <v>1538.8481449999999</v>
      </c>
      <c r="T187" s="411">
        <v>91.243093999999999</v>
      </c>
      <c r="V187" s="49"/>
      <c r="W187" s="49"/>
      <c r="X187" s="49"/>
    </row>
    <row r="188" spans="1:24" x14ac:dyDescent="0.2">
      <c r="A188" s="477">
        <v>50</v>
      </c>
      <c r="B188" s="477">
        <v>178</v>
      </c>
      <c r="C188" s="478" t="s">
        <v>616</v>
      </c>
      <c r="D188" s="479">
        <f t="shared" si="10"/>
        <v>42766</v>
      </c>
      <c r="E188" s="480">
        <v>2017</v>
      </c>
      <c r="F188" s="480">
        <v>31</v>
      </c>
      <c r="G188" s="481">
        <v>0.38611111111111102</v>
      </c>
      <c r="H188" s="482">
        <v>6.25E-2</v>
      </c>
      <c r="I188" s="483">
        <v>2.0833333333333301E-2</v>
      </c>
      <c r="J188" s="484">
        <f t="shared" si="11"/>
        <v>42766</v>
      </c>
      <c r="K188" s="480">
        <v>2017</v>
      </c>
      <c r="L188" s="480">
        <v>31</v>
      </c>
      <c r="M188" s="485">
        <v>0.469444444444444</v>
      </c>
      <c r="N188" s="501">
        <v>3000</v>
      </c>
      <c r="O188" s="486" t="str">
        <f>IF(VALUE(LEFT($R188,3))&lt;192,"",IF(VALUE(LEFT($R188,3))&gt;597,"",VLOOKUP(VALUE(LEFT($R188,3)),'CIRS Table Info'!$B$6:$J$425,2,FALSE)))</f>
        <v/>
      </c>
      <c r="P188" s="498" t="str">
        <f>IF(MID(R188,5,3)="",IF(VALUE(LEFT($R188,3))&lt;192,"",IF(VALUE(LEFT($R188,3))&gt;597,"",CONCATENATE(VLOOKUP(VALUE(LEFT($R188,3)),'CIRS Table Info'!$B$6:$J$425,6,FALSE),"/",VLOOKUP(VALUE(LEFT($R188,3)),'CIRS Table Info'!$B$6:$J$425,8,FALSE),IF(VLOOKUP(VALUE(LEFT($R188,3)),'CIRS Table Info'!$B$6:$J$425,9,FALSE)="Closed","/CLOSED","")))),IF(VALUE(MID($R188,5,3))&lt;192,"",IF(VALUE(MID($R188,5,3))&gt;597,"",CONCATENATE(VLOOKUP(VALUE(MID($R188,5,3)),'CIRS Table Info'!$B$6:$J$425,6,FALSE),"/",VLOOKUP(VALUE(MID($R188,5,3)),'CIRS Table Info'!$B$6:$J$425,8,FALSE),IF(VLOOKUP(VALUE(MID($R188,5,3)),'CIRS Table Info'!$B$6:$J$425,9,FALSE)="Closed","/CLOSED","")))))</f>
        <v/>
      </c>
      <c r="Q188" s="487"/>
      <c r="R188" s="488">
        <f>VLOOKUP($C188,'CIRS Table IDs'!$B:$P,14,FALSE)</f>
        <v>927</v>
      </c>
      <c r="S188" s="489">
        <v>1404.6829829999999</v>
      </c>
      <c r="T188" s="490">
        <v>52.534556000000002</v>
      </c>
      <c r="V188" s="49"/>
      <c r="W188" s="49"/>
      <c r="X188" s="49"/>
    </row>
    <row r="189" spans="1:24" ht="30" x14ac:dyDescent="0.2">
      <c r="A189" s="21"/>
      <c r="B189" s="21">
        <v>179</v>
      </c>
      <c r="C189" s="45" t="s">
        <v>617</v>
      </c>
      <c r="D189" s="35">
        <f t="shared" si="10"/>
        <v>42766</v>
      </c>
      <c r="E189" s="36">
        <v>2017</v>
      </c>
      <c r="F189" s="36">
        <v>31</v>
      </c>
      <c r="G189" s="161">
        <v>0.469444444444444</v>
      </c>
      <c r="H189" s="392">
        <v>0.20833333333333301</v>
      </c>
      <c r="I189" s="393">
        <v>0</v>
      </c>
      <c r="J189" s="164">
        <f t="shared" si="11"/>
        <v>42766</v>
      </c>
      <c r="K189" s="36">
        <v>2017</v>
      </c>
      <c r="L189" s="36">
        <v>31</v>
      </c>
      <c r="M189" s="37">
        <v>0.67777777777777803</v>
      </c>
      <c r="N189" s="499" t="s">
        <v>307</v>
      </c>
      <c r="O189" s="367" t="s">
        <v>687</v>
      </c>
      <c r="P189" s="517" t="s">
        <v>688</v>
      </c>
      <c r="Q189" s="171"/>
      <c r="R189" s="172" t="str">
        <f>VLOOKUP($C189,'CIRS Table IDs'!$B:$P,14,FALSE)</f>
        <v>228,225,205,202,225,228</v>
      </c>
      <c r="S189" s="410">
        <v>1799.455688</v>
      </c>
      <c r="T189" s="411">
        <v>88.099234999999993</v>
      </c>
      <c r="V189" s="49"/>
      <c r="W189" s="49"/>
      <c r="X189" s="49"/>
    </row>
    <row r="190" spans="1:24" ht="15.75" x14ac:dyDescent="0.25">
      <c r="A190" s="541">
        <v>51</v>
      </c>
      <c r="B190" s="541">
        <v>180</v>
      </c>
      <c r="C190" s="542" t="s">
        <v>620</v>
      </c>
      <c r="D190" s="543">
        <f t="shared" si="10"/>
        <v>42767</v>
      </c>
      <c r="E190" s="544">
        <v>2017</v>
      </c>
      <c r="F190" s="544">
        <v>32</v>
      </c>
      <c r="G190" s="545">
        <v>0.19861111111111099</v>
      </c>
      <c r="H190" s="546">
        <v>9.0104166666666693E-2</v>
      </c>
      <c r="I190" s="547">
        <v>3.0034722222222299E-2</v>
      </c>
      <c r="J190" s="548">
        <f t="shared" si="11"/>
        <v>42767</v>
      </c>
      <c r="K190" s="544">
        <v>2017</v>
      </c>
      <c r="L190" s="544">
        <v>32</v>
      </c>
      <c r="M190" s="549">
        <v>0.31874999999999998</v>
      </c>
      <c r="N190" s="550">
        <v>3000</v>
      </c>
      <c r="O190" s="551" t="str">
        <f>IF(VALUE(LEFT($R190,3))&lt;192,"",IF(VALUE(LEFT($R190,3))&gt;597,"",VLOOKUP(VALUE(LEFT($R190,3)),'CIRS Table Info'!$B$6:$J$425,2,FALSE)))</f>
        <v/>
      </c>
      <c r="P190" s="552" t="str">
        <f>IF(MID(R190,5,3)="",IF(VALUE(LEFT($R190,3))&lt;192,"",IF(VALUE(LEFT($R190,3))&gt;597,"",CONCATENATE(VLOOKUP(VALUE(LEFT($R190,3)),'CIRS Table Info'!$B$6:$J$425,6,FALSE),"/",VLOOKUP(VALUE(LEFT($R190,3)),'CIRS Table Info'!$B$6:$J$425,8,FALSE),IF(VLOOKUP(VALUE(LEFT($R190,3)),'CIRS Table Info'!$B$6:$J$425,9,FALSE)="Closed","/CLOSED","")))),IF(VALUE(MID($R190,5,3))&lt;192,"",IF(VALUE(MID($R190,5,3))&gt;597,"",CONCATENATE(VLOOKUP(VALUE(MID($R190,5,3)),'CIRS Table Info'!$B$6:$J$425,6,FALSE),"/",VLOOKUP(VALUE(MID($R190,5,3)),'CIRS Table Info'!$B$6:$J$425,8,FALSE),IF(VLOOKUP(VALUE(MID($R190,5,3)),'CIRS Table Info'!$B$6:$J$425,9,FALSE)="Closed","/CLOSED","")))))</f>
        <v/>
      </c>
      <c r="Q190" s="553"/>
      <c r="R190" s="554">
        <f>VLOOKUP($C190,'CIRS Table IDs'!$B:$P,14,FALSE)</f>
        <v>929</v>
      </c>
      <c r="S190" s="555">
        <v>1550</v>
      </c>
      <c r="T190" s="490">
        <v>42.705950000000001</v>
      </c>
      <c r="V190" s="49"/>
      <c r="W190" s="49"/>
      <c r="X190" s="49"/>
    </row>
    <row r="191" spans="1:24" ht="15.75" x14ac:dyDescent="0.25">
      <c r="A191" s="526"/>
      <c r="B191" s="526">
        <v>181</v>
      </c>
      <c r="C191" s="527" t="s">
        <v>621</v>
      </c>
      <c r="D191" s="528">
        <f t="shared" si="10"/>
        <v>42767</v>
      </c>
      <c r="E191" s="529">
        <v>2017</v>
      </c>
      <c r="F191" s="529">
        <v>32</v>
      </c>
      <c r="G191" s="530">
        <v>0.34652777777777799</v>
      </c>
      <c r="H191" s="531">
        <v>4.1666666666666699E-2</v>
      </c>
      <c r="I191" s="532">
        <v>0</v>
      </c>
      <c r="J191" s="533">
        <f t="shared" si="11"/>
        <v>42767</v>
      </c>
      <c r="K191" s="529">
        <v>2017</v>
      </c>
      <c r="L191" s="529">
        <v>32</v>
      </c>
      <c r="M191" s="534">
        <v>0.38819444444444401</v>
      </c>
      <c r="N191" s="535" t="s">
        <v>307</v>
      </c>
      <c r="O191" s="536">
        <f>IF(VALUE(LEFT($R191,3))&lt;192,"",IF(VALUE(LEFT($R191,3))&gt;597,"",VLOOKUP(VALUE(LEFT($R191,3)),'CIRS Table Info'!$B$6:$J$425,2,FALSE)))</f>
        <v>0.53</v>
      </c>
      <c r="P191" s="537" t="str">
        <f>IF(MID(R191,5,3)="",IF(VALUE(LEFT($R191,3))&lt;192,"",IF(VALUE(LEFT($R191,3))&gt;597,"",CONCATENATE(VLOOKUP(VALUE(LEFT($R191,3)),'CIRS Table Info'!$B$6:$J$425,6,FALSE),"/",VLOOKUP(VALUE(LEFT($R191,3)),'CIRS Table Info'!$B$6:$J$425,8,FALSE),IF(VLOOKUP(VALUE(LEFT($R191,3)),'CIRS Table Info'!$B$6:$J$425,9,FALSE)="Closed","/CLOSED","")))),IF(VALUE(MID($R191,5,3))&lt;192,"",IF(VALUE(MID($R191,5,3))&gt;597,"",CONCATENATE(VLOOKUP(VALUE(MID($R191,5,3)),'CIRS Table Info'!$B$6:$J$425,6,FALSE),"/",VLOOKUP(VALUE(MID($R191,5,3)),'CIRS Table Info'!$B$6:$J$425,8,FALSE),IF(VLOOKUP(VALUE(MID($R191,5,3)),'CIRS Table Info'!$B$6:$J$425,9,FALSE)="Closed","/CLOSED","")))))</f>
        <v>Blink/Blink</v>
      </c>
      <c r="Q191" s="538"/>
      <c r="R191" s="539">
        <f>VLOOKUP($C191,'CIRS Table IDs'!$B:$P,14,FALSE)</f>
        <v>491</v>
      </c>
      <c r="S191" s="540">
        <v>1457.6910399999999</v>
      </c>
      <c r="T191" s="411">
        <v>24.400331000000001</v>
      </c>
      <c r="V191" s="49"/>
      <c r="W191" s="49"/>
      <c r="X191" s="49"/>
    </row>
    <row r="192" spans="1:24" x14ac:dyDescent="0.2">
      <c r="A192" s="21"/>
      <c r="B192" s="21">
        <v>182</v>
      </c>
      <c r="C192" s="45" t="s">
        <v>622</v>
      </c>
      <c r="D192" s="35">
        <f t="shared" si="10"/>
        <v>42767</v>
      </c>
      <c r="E192" s="36">
        <v>2017</v>
      </c>
      <c r="F192" s="36">
        <v>32</v>
      </c>
      <c r="G192" s="161">
        <v>0.38819444444444401</v>
      </c>
      <c r="H192" s="392">
        <v>0.15763888888888899</v>
      </c>
      <c r="I192" s="393">
        <v>0</v>
      </c>
      <c r="J192" s="164">
        <f t="shared" si="11"/>
        <v>42767</v>
      </c>
      <c r="K192" s="36">
        <v>2017</v>
      </c>
      <c r="L192" s="36">
        <v>32</v>
      </c>
      <c r="M192" s="37">
        <v>0.54583333333333295</v>
      </c>
      <c r="N192" s="499" t="s">
        <v>307</v>
      </c>
      <c r="O192" s="367">
        <f>IF(VALUE(LEFT($R192,3))&lt;192,"",IF(VALUE(LEFT($R192,3))&gt;597,"",VLOOKUP(VALUE(LEFT($R192,3)),'CIRS Table Info'!$B$6:$J$425,2,FALSE)))</f>
        <v>2.85</v>
      </c>
      <c r="P192" s="497" t="str">
        <f>IF(MID(R192,5,3)="",IF(VALUE(LEFT($R192,3))&lt;192,"",IF(VALUE(LEFT($R192,3))&gt;597,"",CONCATENATE(VLOOKUP(VALUE(LEFT($R192,3)),'CIRS Table Info'!$B$6:$J$425,6,FALSE),"/",VLOOKUP(VALUE(LEFT($R192,3)),'CIRS Table Info'!$B$6:$J$425,8,FALSE),IF(VLOOKUP(VALUE(LEFT($R192,3)),'CIRS Table Info'!$B$6:$J$425,9,FALSE)="Closed","/CLOSED","")))),IF(VALUE(MID($R192,5,3))&lt;192,"",IF(VALUE(MID($R192,5,3))&gt;597,"",CONCATENATE(VLOOKUP(VALUE(MID($R192,5,3)),'CIRS Table Info'!$B$6:$J$425,6,FALSE),"/",VLOOKUP(VALUE(MID($R192,5,3)),'CIRS Table Info'!$B$6:$J$425,8,FALSE),IF(VLOOKUP(VALUE(MID($R192,5,3)),'CIRS Table Info'!$B$6:$J$425,9,FALSE)="Closed","/CLOSED","")))))</f>
        <v>Blink/Blink</v>
      </c>
      <c r="Q192" s="171"/>
      <c r="R192" s="172">
        <f>VLOOKUP($C192,'CIRS Table IDs'!$B:$P,14,FALSE)</f>
        <v>467</v>
      </c>
      <c r="S192" s="410">
        <v>1667.833862</v>
      </c>
      <c r="T192" s="411">
        <v>72.463190999999995</v>
      </c>
      <c r="V192" s="49"/>
      <c r="W192" s="49"/>
    </row>
    <row r="193" spans="1:24" x14ac:dyDescent="0.2">
      <c r="A193" s="21"/>
      <c r="B193" s="21">
        <v>183</v>
      </c>
      <c r="C193" s="45" t="s">
        <v>623</v>
      </c>
      <c r="D193" s="35">
        <f t="shared" si="10"/>
        <v>42767</v>
      </c>
      <c r="E193" s="36">
        <v>2017</v>
      </c>
      <c r="F193" s="36">
        <v>32</v>
      </c>
      <c r="G193" s="161">
        <v>0.54583333333333295</v>
      </c>
      <c r="H193" s="392">
        <v>4.1666666666666699E-2</v>
      </c>
      <c r="I193" s="393">
        <v>0</v>
      </c>
      <c r="J193" s="164">
        <f t="shared" si="11"/>
        <v>42767</v>
      </c>
      <c r="K193" s="36">
        <v>2017</v>
      </c>
      <c r="L193" s="36">
        <v>32</v>
      </c>
      <c r="M193" s="37">
        <v>0.58750000000000002</v>
      </c>
      <c r="N193" s="499" t="s">
        <v>307</v>
      </c>
      <c r="O193" s="367">
        <f>IF(VALUE(LEFT($R193,3))&lt;192,"",IF(VALUE(LEFT($R193,3))&gt;597,"",VLOOKUP(VALUE(LEFT($R193,3)),'CIRS Table Info'!$B$6:$J$425,2,FALSE)))</f>
        <v>0.53</v>
      </c>
      <c r="P193" s="497" t="str">
        <f>IF(MID(R193,5,3)="",IF(VALUE(LEFT($R193,3))&lt;192,"",IF(VALUE(LEFT($R193,3))&gt;597,"",CONCATENATE(VLOOKUP(VALUE(LEFT($R193,3)),'CIRS Table Info'!$B$6:$J$425,6,FALSE),"/",VLOOKUP(VALUE(LEFT($R193,3)),'CIRS Table Info'!$B$6:$J$425,8,FALSE),IF(VLOOKUP(VALUE(LEFT($R193,3)),'CIRS Table Info'!$B$6:$J$425,9,FALSE)="Closed","/CLOSED","")))),IF(VALUE(MID($R193,5,3))&lt;192,"",IF(VALUE(MID($R193,5,3))&gt;597,"",CONCATENATE(VLOOKUP(VALUE(MID($R193,5,3)),'CIRS Table Info'!$B$6:$J$425,6,FALSE),"/",VLOOKUP(VALUE(MID($R193,5,3)),'CIRS Table Info'!$B$6:$J$425,8,FALSE),IF(VLOOKUP(VALUE(MID($R193,5,3)),'CIRS Table Info'!$B$6:$J$425,9,FALSE)="Closed","/CLOSED","")))))</f>
        <v>Blink/Blink</v>
      </c>
      <c r="Q193" s="171"/>
      <c r="R193" s="172">
        <f>VLOOKUP($C193,'CIRS Table IDs'!$B:$P,14,FALSE)</f>
        <v>491</v>
      </c>
      <c r="S193" s="410">
        <v>1684.785034</v>
      </c>
      <c r="T193" s="411">
        <v>94.999999000000003</v>
      </c>
      <c r="V193" s="49"/>
      <c r="W193" s="49"/>
    </row>
    <row r="194" spans="1:24" x14ac:dyDescent="0.2">
      <c r="A194" s="21"/>
      <c r="B194" s="21">
        <v>184</v>
      </c>
      <c r="C194" s="45" t="s">
        <v>624</v>
      </c>
      <c r="D194" s="35">
        <f t="shared" si="10"/>
        <v>42767</v>
      </c>
      <c r="E194" s="36">
        <v>2017</v>
      </c>
      <c r="F194" s="36">
        <v>32</v>
      </c>
      <c r="G194" s="161">
        <v>0.58750000000000002</v>
      </c>
      <c r="H194" s="392">
        <v>0.21875</v>
      </c>
      <c r="I194" s="393">
        <v>0</v>
      </c>
      <c r="J194" s="164">
        <f t="shared" si="11"/>
        <v>42767</v>
      </c>
      <c r="K194" s="36">
        <v>2017</v>
      </c>
      <c r="L194" s="36">
        <v>32</v>
      </c>
      <c r="M194" s="37">
        <v>0.80625000000000002</v>
      </c>
      <c r="N194" s="499" t="s">
        <v>307</v>
      </c>
      <c r="O194" s="367">
        <f>IF(VALUE(LEFT($R194,3))&lt;192,"",IF(VALUE(LEFT($R194,3))&gt;597,"",VLOOKUP(VALUE(LEFT($R194,3)),'CIRS Table Info'!$B$6:$J$425,2,FALSE)))</f>
        <v>0.53</v>
      </c>
      <c r="P194" s="497" t="str">
        <f>IF(MID(R194,5,3)="",IF(VALUE(LEFT($R194,3))&lt;192,"",IF(VALUE(LEFT($R194,3))&gt;597,"",CONCATENATE(VLOOKUP(VALUE(LEFT($R194,3)),'CIRS Table Info'!$B$6:$J$425,6,FALSE),"/",VLOOKUP(VALUE(LEFT($R194,3)),'CIRS Table Info'!$B$6:$J$425,8,FALSE),IF(VLOOKUP(VALUE(LEFT($R194,3)),'CIRS Table Info'!$B$6:$J$425,9,FALSE)="Closed","/CLOSED","")))),IF(VALUE(MID($R194,5,3))&lt;192,"",IF(VALUE(MID($R194,5,3))&gt;597,"",CONCATENATE(VLOOKUP(VALUE(MID($R194,5,3)),'CIRS Table Info'!$B$6:$J$425,6,FALSE),"/",VLOOKUP(VALUE(MID($R194,5,3)),'CIRS Table Info'!$B$6:$J$425,8,FALSE),IF(VLOOKUP(VALUE(MID($R194,5,3)),'CIRS Table Info'!$B$6:$J$425,9,FALSE)="Closed","/CLOSED","")))))</f>
        <v>Blink/Blink</v>
      </c>
      <c r="Q194" s="171"/>
      <c r="R194" s="172">
        <f>VLOOKUP($C194,'CIRS Table IDs'!$B:$P,14,FALSE)</f>
        <v>591</v>
      </c>
      <c r="S194" s="410">
        <v>1829.399048</v>
      </c>
      <c r="T194" s="411">
        <v>80.040925999999999</v>
      </c>
    </row>
    <row r="195" spans="1:24" x14ac:dyDescent="0.2">
      <c r="A195" s="21"/>
      <c r="B195" s="21">
        <v>185</v>
      </c>
      <c r="C195" s="45" t="s">
        <v>627</v>
      </c>
      <c r="D195" s="35">
        <f t="shared" si="10"/>
        <v>42767</v>
      </c>
      <c r="E195" s="36">
        <v>2017</v>
      </c>
      <c r="F195" s="36">
        <v>32</v>
      </c>
      <c r="G195" s="161">
        <v>0.80625000000000002</v>
      </c>
      <c r="H195" s="392">
        <v>4.1666666666666699E-2</v>
      </c>
      <c r="I195" s="393">
        <v>0</v>
      </c>
      <c r="J195" s="164">
        <f t="shared" si="11"/>
        <v>42767</v>
      </c>
      <c r="K195" s="36">
        <v>2017</v>
      </c>
      <c r="L195" s="36">
        <v>32</v>
      </c>
      <c r="M195" s="37">
        <v>0.84791666666666698</v>
      </c>
      <c r="N195" s="499" t="s">
        <v>307</v>
      </c>
      <c r="O195" s="367">
        <f>IF(VALUE(LEFT($R195,3))&lt;192,"",IF(VALUE(LEFT($R195,3))&gt;597,"",VLOOKUP(VALUE(LEFT($R195,3)),'CIRS Table Info'!$B$6:$J$425,2,FALSE)))</f>
        <v>0.53</v>
      </c>
      <c r="P195" s="497" t="str">
        <f>IF(MID(R195,5,3)="",IF(VALUE(LEFT($R195,3))&lt;192,"",IF(VALUE(LEFT($R195,3))&gt;597,"",CONCATENATE(VLOOKUP(VALUE(LEFT($R195,3)),'CIRS Table Info'!$B$6:$J$425,6,FALSE),"/",VLOOKUP(VALUE(LEFT($R195,3)),'CIRS Table Info'!$B$6:$J$425,8,FALSE),IF(VLOOKUP(VALUE(LEFT($R195,3)),'CIRS Table Info'!$B$6:$J$425,9,FALSE)="Closed","/CLOSED","")))),IF(VALUE(MID($R195,5,3))&lt;192,"",IF(VALUE(MID($R195,5,3))&gt;597,"",CONCATENATE(VLOOKUP(VALUE(MID($R195,5,3)),'CIRS Table Info'!$B$6:$J$425,6,FALSE),"/",VLOOKUP(VALUE(MID($R195,5,3)),'CIRS Table Info'!$B$6:$J$425,8,FALSE),IF(VLOOKUP(VALUE(MID($R195,5,3)),'CIRS Table Info'!$B$6:$J$425,9,FALSE)="Closed","/CLOSED","")))))</f>
        <v>Blink/Blink</v>
      </c>
      <c r="Q195" s="171"/>
      <c r="R195" s="172">
        <f>VLOOKUP($C195,'CIRS Table IDs'!$B:$P,14,FALSE)</f>
        <v>491</v>
      </c>
      <c r="S195" s="410">
        <v>1688.5460210000001</v>
      </c>
      <c r="T195" s="411">
        <v>80.810940000000002</v>
      </c>
      <c r="V195" s="49"/>
      <c r="W195" s="49"/>
    </row>
    <row r="196" spans="1:24" x14ac:dyDescent="0.2">
      <c r="A196" s="21"/>
      <c r="B196" s="21">
        <v>186</v>
      </c>
      <c r="C196" s="45" t="s">
        <v>628</v>
      </c>
      <c r="D196" s="35">
        <f t="shared" si="10"/>
        <v>42767</v>
      </c>
      <c r="E196" s="36">
        <v>2017</v>
      </c>
      <c r="F196" s="36">
        <v>32</v>
      </c>
      <c r="G196" s="161">
        <v>0.84791666666666698</v>
      </c>
      <c r="H196" s="392">
        <v>0.21875</v>
      </c>
      <c r="I196" s="393">
        <v>0</v>
      </c>
      <c r="J196" s="164">
        <f t="shared" si="11"/>
        <v>42768</v>
      </c>
      <c r="K196" s="36">
        <v>2017</v>
      </c>
      <c r="L196" s="36">
        <v>33</v>
      </c>
      <c r="M196" s="37">
        <v>6.6666666666666693E-2</v>
      </c>
      <c r="N196" s="499" t="s">
        <v>307</v>
      </c>
      <c r="O196" s="367">
        <f>IF(VALUE(LEFT($R196,3))&lt;192,"",IF(VALUE(LEFT($R196,3))&gt;597,"",VLOOKUP(VALUE(LEFT($R196,3)),'CIRS Table Info'!$B$6:$J$425,2,FALSE)))</f>
        <v>15.67</v>
      </c>
      <c r="P196" s="497" t="str">
        <f>IF(MID(R196,5,3)="",IF(VALUE(LEFT($R196,3))&lt;192,"",IF(VALUE(LEFT($R196,3))&gt;597,"",CONCATENATE(VLOOKUP(VALUE(LEFT($R196,3)),'CIRS Table Info'!$B$6:$J$425,6,FALSE),"/",VLOOKUP(VALUE(LEFT($R196,3)),'CIRS Table Info'!$B$6:$J$425,8,FALSE),IF(VLOOKUP(VALUE(LEFT($R196,3)),'CIRS Table Info'!$B$6:$J$425,9,FALSE)="Closed","/CLOSED","")))),IF(VALUE(MID($R196,5,3))&lt;192,"",IF(VALUE(MID($R196,5,3))&gt;597,"",CONCATENATE(VLOOKUP(VALUE(MID($R196,5,3)),'CIRS Table Info'!$B$6:$J$425,6,FALSE),"/",VLOOKUP(VALUE(MID($R196,5,3)),'CIRS Table Info'!$B$6:$J$425,8,FALSE),IF(VLOOKUP(VALUE(MID($R196,5,3)),'CIRS Table Info'!$B$6:$J$425,9,FALSE)="Closed","/CLOSED","")))))</f>
        <v>Blink/Blink</v>
      </c>
      <c r="Q196" s="171"/>
      <c r="R196" s="172">
        <f>VLOOKUP($C196,'CIRS Table IDs'!$B:$P,14,FALSE)</f>
        <v>505</v>
      </c>
      <c r="S196" s="410">
        <v>1837.9373780000001</v>
      </c>
      <c r="T196" s="411">
        <v>81.878078000000002</v>
      </c>
      <c r="V196" s="49"/>
      <c r="W196" s="49"/>
      <c r="X196" s="49"/>
    </row>
    <row r="197" spans="1:24" x14ac:dyDescent="0.2">
      <c r="A197" s="21"/>
      <c r="B197" s="21">
        <v>187</v>
      </c>
      <c r="C197" s="45" t="s">
        <v>629</v>
      </c>
      <c r="D197" s="35">
        <f t="shared" si="10"/>
        <v>42768</v>
      </c>
      <c r="E197" s="36">
        <v>2017</v>
      </c>
      <c r="F197" s="36">
        <v>33</v>
      </c>
      <c r="G197" s="161">
        <v>6.6666666666666693E-2</v>
      </c>
      <c r="H197" s="392">
        <v>4.1666666666666699E-2</v>
      </c>
      <c r="I197" s="393">
        <v>0</v>
      </c>
      <c r="J197" s="164">
        <f t="shared" si="11"/>
        <v>42768</v>
      </c>
      <c r="K197" s="36">
        <v>2017</v>
      </c>
      <c r="L197" s="36">
        <v>33</v>
      </c>
      <c r="M197" s="37">
        <v>0.108333333333333</v>
      </c>
      <c r="N197" s="499" t="s">
        <v>307</v>
      </c>
      <c r="O197" s="367">
        <f>IF(VALUE(LEFT($R197,3))&lt;192,"",IF(VALUE(LEFT($R197,3))&gt;597,"",VLOOKUP(VALUE(LEFT($R197,3)),'CIRS Table Info'!$B$6:$J$425,2,FALSE)))</f>
        <v>0.53</v>
      </c>
      <c r="P197" s="497" t="str">
        <f>IF(MID(R197,5,3)="",IF(VALUE(LEFT($R197,3))&lt;192,"",IF(VALUE(LEFT($R197,3))&gt;597,"",CONCATENATE(VLOOKUP(VALUE(LEFT($R197,3)),'CIRS Table Info'!$B$6:$J$425,6,FALSE),"/",VLOOKUP(VALUE(LEFT($R197,3)),'CIRS Table Info'!$B$6:$J$425,8,FALSE),IF(VLOOKUP(VALUE(LEFT($R197,3)),'CIRS Table Info'!$B$6:$J$425,9,FALSE)="Closed","/CLOSED","")))),IF(VALUE(MID($R197,5,3))&lt;192,"",IF(VALUE(MID($R197,5,3))&gt;597,"",CONCATENATE(VLOOKUP(VALUE(MID($R197,5,3)),'CIRS Table Info'!$B$6:$J$425,6,FALSE),"/",VLOOKUP(VALUE(MID($R197,5,3)),'CIRS Table Info'!$B$6:$J$425,8,FALSE),IF(VLOOKUP(VALUE(MID($R197,5,3)),'CIRS Table Info'!$B$6:$J$425,9,FALSE)="Closed","/CLOSED","")))))</f>
        <v>Blink/Blink</v>
      </c>
      <c r="Q197" s="171"/>
      <c r="R197" s="172">
        <f>VLOOKUP($C197,'CIRS Table IDs'!$B:$P,14,FALSE)</f>
        <v>491</v>
      </c>
      <c r="S197" s="410">
        <v>1555.2154539999999</v>
      </c>
      <c r="T197" s="411">
        <v>88.522386999999995</v>
      </c>
      <c r="V197" s="49"/>
      <c r="W197" s="49"/>
    </row>
    <row r="198" spans="1:24" x14ac:dyDescent="0.2">
      <c r="A198" s="21"/>
      <c r="B198" s="21">
        <v>188</v>
      </c>
      <c r="C198" s="45" t="s">
        <v>630</v>
      </c>
      <c r="D198" s="35">
        <f t="shared" si="10"/>
        <v>42768</v>
      </c>
      <c r="E198" s="36">
        <v>2017</v>
      </c>
      <c r="F198" s="36">
        <v>33</v>
      </c>
      <c r="G198" s="161">
        <v>0.108333333333333</v>
      </c>
      <c r="H198" s="392">
        <v>0.29166666666666702</v>
      </c>
      <c r="I198" s="393">
        <v>0</v>
      </c>
      <c r="J198" s="164">
        <f t="shared" si="11"/>
        <v>42768</v>
      </c>
      <c r="K198" s="36">
        <v>2017</v>
      </c>
      <c r="L198" s="36">
        <v>33</v>
      </c>
      <c r="M198" s="37">
        <v>0.4</v>
      </c>
      <c r="N198" s="499" t="s">
        <v>307</v>
      </c>
      <c r="O198" s="367">
        <f>IF(VALUE(LEFT($R198,3))&lt;192,"",IF(VALUE(LEFT($R198,3))&gt;597,"",VLOOKUP(VALUE(LEFT($R198,3)),'CIRS Table Info'!$B$6:$J$425,2,FALSE)))</f>
        <v>2.85</v>
      </c>
      <c r="P198" s="497" t="str">
        <f>IF(MID(R198,5,3)="",IF(VALUE(LEFT($R198,3))&lt;192,"",IF(VALUE(LEFT($R198,3))&gt;597,"",CONCATENATE(VLOOKUP(VALUE(LEFT($R198,3)),'CIRS Table Info'!$B$6:$J$425,6,FALSE),"/",VLOOKUP(VALUE(LEFT($R198,3)),'CIRS Table Info'!$B$6:$J$425,8,FALSE),IF(VLOOKUP(VALUE(LEFT($R198,3)),'CIRS Table Info'!$B$6:$J$425,9,FALSE)="Closed","/CLOSED","")))),IF(VALUE(MID($R198,5,3))&lt;192,"",IF(VALUE(MID($R198,5,3))&gt;597,"",CONCATENATE(VLOOKUP(VALUE(MID($R198,5,3)),'CIRS Table Info'!$B$6:$J$425,6,FALSE),"/",VLOOKUP(VALUE(MID($R198,5,3)),'CIRS Table Info'!$B$6:$J$425,8,FALSE),IF(VLOOKUP(VALUE(MID($R198,5,3)),'CIRS Table Info'!$B$6:$J$425,9,FALSE)="Closed","/CLOSED","")))))</f>
        <v>Blink/Blink</v>
      </c>
      <c r="Q198" s="171"/>
      <c r="R198" s="172">
        <f>VLOOKUP($C198,'CIRS Table IDs'!$B:$P,14,FALSE)</f>
        <v>467</v>
      </c>
      <c r="S198" s="410">
        <v>1505.587769</v>
      </c>
      <c r="T198" s="411">
        <v>62.423991999999998</v>
      </c>
    </row>
    <row r="199" spans="1:24" x14ac:dyDescent="0.2">
      <c r="A199" s="21"/>
      <c r="B199" s="21">
        <v>189</v>
      </c>
      <c r="C199" s="45" t="s">
        <v>631</v>
      </c>
      <c r="D199" s="35">
        <f t="shared" si="10"/>
        <v>42768</v>
      </c>
      <c r="E199" s="36">
        <v>2017</v>
      </c>
      <c r="F199" s="36">
        <v>33</v>
      </c>
      <c r="G199" s="161">
        <v>0.4</v>
      </c>
      <c r="H199" s="392">
        <v>0.23958333333333301</v>
      </c>
      <c r="I199" s="393">
        <v>0</v>
      </c>
      <c r="J199" s="164">
        <f t="shared" si="11"/>
        <v>42768</v>
      </c>
      <c r="K199" s="36">
        <v>2017</v>
      </c>
      <c r="L199" s="36">
        <v>33</v>
      </c>
      <c r="M199" s="37">
        <v>0.63958333333333295</v>
      </c>
      <c r="N199" s="499" t="s">
        <v>307</v>
      </c>
      <c r="O199" s="367">
        <f>IF(VALUE(LEFT($R199,3))&lt;192,"",IF(VALUE(LEFT($R199,3))&gt;597,"",VLOOKUP(VALUE(LEFT($R199,3)),'CIRS Table Info'!$B$6:$J$425,2,FALSE)))</f>
        <v>0.53</v>
      </c>
      <c r="P199" s="497" t="str">
        <f>IF(MID(R199,5,3)="",IF(VALUE(LEFT($R199,3))&lt;192,"",IF(VALUE(LEFT($R199,3))&gt;597,"",CONCATENATE(VLOOKUP(VALUE(LEFT($R199,3)),'CIRS Table Info'!$B$6:$J$425,6,FALSE),"/",VLOOKUP(VALUE(LEFT($R199,3)),'CIRS Table Info'!$B$6:$J$425,8,FALSE),IF(VLOOKUP(VALUE(LEFT($R199,3)),'CIRS Table Info'!$B$6:$J$425,9,FALSE)="Closed","/CLOSED","")))),IF(VALUE(MID($R199,5,3))&lt;192,"",IF(VALUE(MID($R199,5,3))&gt;597,"",CONCATENATE(VLOOKUP(VALUE(MID($R199,5,3)),'CIRS Table Info'!$B$6:$J$425,6,FALSE),"/",VLOOKUP(VALUE(MID($R199,5,3)),'CIRS Table Info'!$B$6:$J$425,8,FALSE),IF(VLOOKUP(VALUE(MID($R199,5,3)),'CIRS Table Info'!$B$6:$J$425,9,FALSE)="Closed","/CLOSED","")))))</f>
        <v>Blink/Blink</v>
      </c>
      <c r="Q199" s="171"/>
      <c r="R199" s="172">
        <f>VLOOKUP($C199,'CIRS Table IDs'!$B:$P,14,FALSE)</f>
        <v>591</v>
      </c>
      <c r="S199" s="410">
        <v>1643.1872559999999</v>
      </c>
      <c r="T199" s="411">
        <v>97.941481999999993</v>
      </c>
      <c r="V199" s="49"/>
      <c r="W199" s="49"/>
    </row>
    <row r="200" spans="1:24" x14ac:dyDescent="0.2">
      <c r="A200" s="21"/>
      <c r="B200" s="21">
        <v>190</v>
      </c>
      <c r="C200" s="45" t="s">
        <v>633</v>
      </c>
      <c r="D200" s="35">
        <f t="shared" si="10"/>
        <v>42768</v>
      </c>
      <c r="E200" s="36">
        <v>2017</v>
      </c>
      <c r="F200" s="36">
        <v>33</v>
      </c>
      <c r="G200" s="161">
        <v>0.63958333333333295</v>
      </c>
      <c r="H200" s="392">
        <v>4.1666666666666699E-2</v>
      </c>
      <c r="I200" s="393">
        <v>0</v>
      </c>
      <c r="J200" s="164">
        <f t="shared" si="11"/>
        <v>42768</v>
      </c>
      <c r="K200" s="36">
        <v>2017</v>
      </c>
      <c r="L200" s="36">
        <v>33</v>
      </c>
      <c r="M200" s="37">
        <v>0.68125000000000002</v>
      </c>
      <c r="N200" s="499" t="s">
        <v>307</v>
      </c>
      <c r="O200" s="367">
        <f>IF(VALUE(LEFT($R200,3))&lt;192,"",IF(VALUE(LEFT($R200,3))&gt;597,"",VLOOKUP(VALUE(LEFT($R200,3)),'CIRS Table Info'!$B$6:$J$425,2,FALSE)))</f>
        <v>0.53</v>
      </c>
      <c r="P200" s="497" t="str">
        <f>IF(MID(R200,5,3)="",IF(VALUE(LEFT($R200,3))&lt;192,"",IF(VALUE(LEFT($R200,3))&gt;597,"",CONCATENATE(VLOOKUP(VALUE(LEFT($R200,3)),'CIRS Table Info'!$B$6:$J$425,6,FALSE),"/",VLOOKUP(VALUE(LEFT($R200,3)),'CIRS Table Info'!$B$6:$J$425,8,FALSE),IF(VLOOKUP(VALUE(LEFT($R200,3)),'CIRS Table Info'!$B$6:$J$425,9,FALSE)="Closed","/CLOSED","")))),IF(VALUE(MID($R200,5,3))&lt;192,"",IF(VALUE(MID($R200,5,3))&gt;597,"",CONCATENATE(VLOOKUP(VALUE(MID($R200,5,3)),'CIRS Table Info'!$B$6:$J$425,6,FALSE),"/",VLOOKUP(VALUE(MID($R200,5,3)),'CIRS Table Info'!$B$6:$J$425,8,FALSE),IF(VLOOKUP(VALUE(MID($R200,5,3)),'CIRS Table Info'!$B$6:$J$425,9,FALSE)="Closed","/CLOSED","")))))</f>
        <v>Blink/Blink</v>
      </c>
      <c r="Q200" s="171"/>
      <c r="R200" s="172">
        <f>VLOOKUP($C200,'CIRS Table IDs'!$B:$P,14,FALSE)</f>
        <v>491</v>
      </c>
      <c r="S200" s="410">
        <v>1199.7261960000001</v>
      </c>
      <c r="T200" s="411">
        <v>100</v>
      </c>
    </row>
    <row r="201" spans="1:24" ht="15.75" x14ac:dyDescent="0.25">
      <c r="A201" s="541">
        <v>52</v>
      </c>
      <c r="B201" s="541">
        <v>191</v>
      </c>
      <c r="C201" s="542" t="s">
        <v>634</v>
      </c>
      <c r="D201" s="543">
        <f t="shared" ref="D201:D203" si="12">DATE(E201,1,F201)</f>
        <v>42768</v>
      </c>
      <c r="E201" s="544">
        <v>2017</v>
      </c>
      <c r="F201" s="544">
        <v>33</v>
      </c>
      <c r="G201" s="545">
        <v>0.750694444444444</v>
      </c>
      <c r="H201" s="546">
        <v>0.30104166666666698</v>
      </c>
      <c r="I201" s="547">
        <v>0.100347222222222</v>
      </c>
      <c r="J201" s="548">
        <f t="shared" si="11"/>
        <v>42769</v>
      </c>
      <c r="K201" s="544">
        <v>2017</v>
      </c>
      <c r="L201" s="544">
        <v>34</v>
      </c>
      <c r="M201" s="549">
        <v>0.15208333333333299</v>
      </c>
      <c r="N201" s="550">
        <v>3000</v>
      </c>
      <c r="O201" s="551" t="str">
        <f>IF(VALUE(LEFT($R201,3))&lt;192,"",IF(VALUE(LEFT($R201,3))&gt;597,"",VLOOKUP(VALUE(LEFT($R201,3)),'CIRS Table Info'!$B$6:$J$425,2,FALSE)))</f>
        <v/>
      </c>
      <c r="P201" s="552" t="str">
        <f>IF(MID(R201,5,3)="",IF(VALUE(LEFT($R201,3))&lt;192,"",IF(VALUE(LEFT($R201,3))&gt;597,"",CONCATENATE(VLOOKUP(VALUE(LEFT($R201,3)),'CIRS Table Info'!$B$6:$J$425,6,FALSE),"/",VLOOKUP(VALUE(LEFT($R201,3)),'CIRS Table Info'!$B$6:$J$425,8,FALSE),IF(VLOOKUP(VALUE(LEFT($R201,3)),'CIRS Table Info'!$B$6:$J$425,9,FALSE)="Closed","/CLOSED","")))),IF(VALUE(MID($R201,5,3))&lt;192,"",IF(VALUE(MID($R201,5,3))&gt;597,"",CONCATENATE(VLOOKUP(VALUE(MID($R201,5,3)),'CIRS Table Info'!$B$6:$J$425,6,FALSE),"/",VLOOKUP(VALUE(MID($R201,5,3)),'CIRS Table Info'!$B$6:$J$425,8,FALSE),IF(VLOOKUP(VALUE(MID($R201,5,3)),'CIRS Table Info'!$B$6:$J$425,9,FALSE)="Closed","/CLOSED","")))))</f>
        <v/>
      </c>
      <c r="Q201" s="553"/>
      <c r="R201" s="554">
        <f>VLOOKUP($C201,'CIRS Table IDs'!$B:$P,14,FALSE)</f>
        <v>940</v>
      </c>
      <c r="S201" s="555">
        <v>1590.2517089999999</v>
      </c>
      <c r="T201" s="490">
        <v>2</v>
      </c>
      <c r="V201" s="49"/>
      <c r="W201" s="49"/>
    </row>
    <row r="202" spans="1:24" ht="16.5" thickBot="1" x14ac:dyDescent="0.3">
      <c r="A202" s="541">
        <v>53</v>
      </c>
      <c r="B202" s="541">
        <v>192</v>
      </c>
      <c r="C202" s="542" t="s">
        <v>635</v>
      </c>
      <c r="D202" s="543">
        <f t="shared" si="12"/>
        <v>42769</v>
      </c>
      <c r="E202" s="544">
        <v>2017</v>
      </c>
      <c r="F202" s="544">
        <v>34</v>
      </c>
      <c r="G202" s="545">
        <v>0.19375000000000001</v>
      </c>
      <c r="H202" s="556">
        <v>7.6041666666666799E-2</v>
      </c>
      <c r="I202" s="557">
        <v>2.5347222222222202E-2</v>
      </c>
      <c r="J202" s="558">
        <f t="shared" ref="J202" si="13">DATE(K202,1,L202)</f>
        <v>42769</v>
      </c>
      <c r="K202" s="559">
        <v>2017</v>
      </c>
      <c r="L202" s="559">
        <v>34</v>
      </c>
      <c r="M202" s="560">
        <v>0.29513888888888901</v>
      </c>
      <c r="N202" s="561">
        <v>3000</v>
      </c>
      <c r="O202" s="562" t="str">
        <f>IF(VALUE(LEFT($R202,3))&lt;192,"",IF(VALUE(LEFT($R202,3))&gt;597,"",VLOOKUP(VALUE(LEFT($R202,3)),'CIRS Table Info'!$B$6:$J$425,2,FALSE)))</f>
        <v/>
      </c>
      <c r="P202" s="563" t="str">
        <f>IF(MID(R202,5,3)="",IF(VALUE(LEFT($R202,3))&lt;192,"",IF(VALUE(LEFT($R202,3))&gt;597,"",CONCATENATE(VLOOKUP(VALUE(LEFT($R202,3)),'CIRS Table Info'!$B$6:$J$425,6,FALSE),"/",VLOOKUP(VALUE(LEFT($R202,3)),'CIRS Table Info'!$B$6:$J$425,8,FALSE),IF(VLOOKUP(VALUE(LEFT($R202,3)),'CIRS Table Info'!$B$6:$J$425,9,FALSE)="Closed","/CLOSED","")))),IF(VALUE(MID($R202,5,3))&lt;192,"",IF(VALUE(MID($R202,5,3))&gt;597,"",CONCATENATE(VLOOKUP(VALUE(MID($R202,5,3)),'CIRS Table Info'!$B$6:$J$425,6,FALSE),"/",VLOOKUP(VALUE(MID($R202,5,3)),'CIRS Table Info'!$B$6:$J$425,8,FALSE),IF(VLOOKUP(VALUE(MID($R202,5,3)),'CIRS Table Info'!$B$6:$J$425,9,FALSE)="Closed","/CLOSED","")))))</f>
        <v/>
      </c>
      <c r="Q202" s="564"/>
      <c r="R202" s="565">
        <f>VLOOKUP($C202,'CIRS Table IDs'!$B:$P,14,FALSE)</f>
        <v>941</v>
      </c>
      <c r="S202" s="566">
        <v>1584.9632570000001</v>
      </c>
      <c r="T202" s="495">
        <v>2</v>
      </c>
      <c r="V202" s="49"/>
      <c r="W202" s="49"/>
    </row>
    <row r="203" spans="1:24" ht="15.75" thickBot="1" x14ac:dyDescent="0.25">
      <c r="A203" s="21"/>
      <c r="B203" s="21"/>
      <c r="C203" s="50" t="s">
        <v>362</v>
      </c>
      <c r="D203" s="51">
        <f t="shared" si="12"/>
        <v>42769</v>
      </c>
      <c r="E203" s="52">
        <v>2017</v>
      </c>
      <c r="F203" s="52">
        <v>34</v>
      </c>
      <c r="G203" s="53">
        <v>0.2951388888888889</v>
      </c>
      <c r="H203" s="61"/>
      <c r="I203" s="61"/>
      <c r="J203" s="174"/>
      <c r="K203" s="174"/>
      <c r="L203" s="174"/>
      <c r="M203" s="174"/>
      <c r="N203" s="64"/>
    </row>
    <row r="204" spans="1:24" x14ac:dyDescent="0.2">
      <c r="A204" s="21">
        <f>COUNTA(A9:A202)</f>
        <v>53</v>
      </c>
      <c r="G204" s="49"/>
    </row>
    <row r="205" spans="1:24" x14ac:dyDescent="0.2">
      <c r="C205" s="14" t="s">
        <v>236</v>
      </c>
      <c r="D205" s="175">
        <f>G205</f>
        <v>16.650000000000013</v>
      </c>
      <c r="F205" s="14">
        <f>DAY(G205)</f>
        <v>16</v>
      </c>
      <c r="G205" s="49">
        <f>G211+G207</f>
        <v>16.650000000000013</v>
      </c>
      <c r="I205" s="175"/>
    </row>
    <row r="206" spans="1:24" x14ac:dyDescent="0.2">
      <c r="D206" s="175"/>
      <c r="G206" s="49"/>
      <c r="I206" s="175"/>
    </row>
    <row r="207" spans="1:24" x14ac:dyDescent="0.2">
      <c r="C207" s="14" t="s">
        <v>237</v>
      </c>
      <c r="D207" s="175">
        <f>G207</f>
        <v>16.650000000000013</v>
      </c>
      <c r="F207" s="14">
        <f>DAY(G207)</f>
        <v>16</v>
      </c>
      <c r="G207" s="49">
        <f>+H12+I12+H14+I14+H21+I21+H22+I22+H36+I36+H38+I38+H41+I41+H43+I43+H45+I45+H48+I48+H50+I50+H51+I51+H52+I52+H53+I53+H67+I67+H69+I69+H80+I80+H84+I84+H86+I86+H87+I87+H90+I90+H91+I91+H92+I92+H97+I97+H98+I98+H99+I99+H106+I106+H115+I115+H119+I119+H121+I121+H122+I122+H127+I127+H137+I137+H141+I141+H144+I144+H147+I147+H152+I152+H162+I162+H164+I164+H166+I166+H167+I167+H169+I169+H171+I171+H174+I174+H175+I175+H176+I176+H177+I177+H178+I178+H180+I180+H188+I188+H190+I190+H201+I201+H202+I202</f>
        <v>16.650000000000013</v>
      </c>
      <c r="I207" s="175">
        <f>'Deep Space Cals'!I74</f>
        <v>16.650000000000013</v>
      </c>
      <c r="J207" s="175" t="b">
        <f>D207=I207</f>
        <v>1</v>
      </c>
      <c r="K207" s="175"/>
    </row>
    <row r="208" spans="1:24" x14ac:dyDescent="0.2">
      <c r="C208" s="14" t="s">
        <v>238</v>
      </c>
      <c r="D208" s="175">
        <f>G208</f>
        <v>11.768374305555568</v>
      </c>
      <c r="F208" s="14">
        <f>DAY(G208)</f>
        <v>11</v>
      </c>
      <c r="G208" s="49">
        <f>G207-G209</f>
        <v>11.768374305555568</v>
      </c>
      <c r="I208" s="175"/>
    </row>
    <row r="209" spans="3:11" x14ac:dyDescent="0.2">
      <c r="C209" s="14" t="s">
        <v>239</v>
      </c>
      <c r="D209" s="175">
        <f>G209</f>
        <v>4.8816256944444438</v>
      </c>
      <c r="F209" s="14">
        <f>DAY(G209)</f>
        <v>4</v>
      </c>
      <c r="G209" s="49">
        <f>SUM(I8:I202)</f>
        <v>4.8816256944444438</v>
      </c>
      <c r="I209" s="175"/>
    </row>
    <row r="210" spans="3:11" x14ac:dyDescent="0.2">
      <c r="D210" s="175"/>
      <c r="G210" s="49"/>
      <c r="I210" s="175"/>
    </row>
    <row r="211" spans="3:11" x14ac:dyDescent="0.2">
      <c r="C211" s="14" t="s">
        <v>240</v>
      </c>
      <c r="D211" s="175">
        <f>G211</f>
        <v>0</v>
      </c>
      <c r="F211" s="14">
        <f>DAY(G211)</f>
        <v>0</v>
      </c>
      <c r="G211" s="49">
        <v>0</v>
      </c>
      <c r="I211" s="175"/>
      <c r="J211" s="66"/>
    </row>
    <row r="212" spans="3:11" x14ac:dyDescent="0.2">
      <c r="D212" s="175"/>
      <c r="G212" s="49"/>
      <c r="H212" s="49"/>
      <c r="I212" s="175"/>
      <c r="J212" s="175"/>
    </row>
    <row r="213" spans="3:11" x14ac:dyDescent="0.2">
      <c r="C213" s="14" t="s">
        <v>241</v>
      </c>
      <c r="D213" s="175">
        <f>G213</f>
        <v>26.803333333333342</v>
      </c>
      <c r="F213" s="14">
        <f>DAY(G213)</f>
        <v>26</v>
      </c>
      <c r="G213" s="49">
        <f>+H9+H10+H11+H13+H15+H16+H17+H18+H19+H20+H23+H24+H25+H26+H27+H28+H29+H30+H31+H32+H33+H34+H35+H37+H39+H40+H42+H44+H46+H47+H49+H54+H55+H56+H57+H58+H59+H60+H61+H62+H63+H64+H65+H66+H68+H70+H71+H72+H73+H74+H75+H76+H77+H78+H79+H81+H82+H83+H85+H88+H89+H93+H94+H95+H96+H100+H101+H102+H103+H104+H105+H107+H108+H109+H110+H111+H112+H113+H114+H116+H117+H118+H120+H123+H124+H125+H126+H128+H129+H130+H131+H132+H133+H134+H135+H136+H138+H139+H140+H142+H143+H145+H146+H148+H149+H150+H151+H153+H154+H155+H156+H157+H158+H159+H160+H161+H163+H165+H168+H170+H172+H173+H179+H181+H182+H183+H184+H185+H186+H187+H189+H191+H192+H193+H194+H195+H196+H197+H198+H199+H200</f>
        <v>26.803333333333342</v>
      </c>
      <c r="I213" s="175"/>
      <c r="J213" s="175">
        <f>I207+I213</f>
        <v>16.650000000000013</v>
      </c>
      <c r="K213" s="66"/>
    </row>
    <row r="214" spans="3:11" x14ac:dyDescent="0.2">
      <c r="D214" s="175"/>
      <c r="G214" s="49"/>
      <c r="I214" s="175"/>
      <c r="J214" s="175"/>
    </row>
    <row r="215" spans="3:11" x14ac:dyDescent="0.2">
      <c r="C215" s="14" t="s">
        <v>242</v>
      </c>
      <c r="D215" s="175"/>
      <c r="G215" s="49"/>
      <c r="I215" s="175"/>
      <c r="J215" s="175">
        <f>I219-J213</f>
        <v>26.803333333333327</v>
      </c>
    </row>
    <row r="216" spans="3:11" x14ac:dyDescent="0.2">
      <c r="C216" s="14" t="s">
        <v>243</v>
      </c>
      <c r="D216" s="175"/>
      <c r="G216" s="49"/>
      <c r="I216" s="175"/>
      <c r="J216" s="175"/>
    </row>
    <row r="217" spans="3:11" x14ac:dyDescent="0.2">
      <c r="D217" s="175"/>
      <c r="G217" s="49"/>
      <c r="I217" s="175"/>
    </row>
    <row r="218" spans="3:11" x14ac:dyDescent="0.2">
      <c r="D218" s="175"/>
      <c r="G218" s="49"/>
      <c r="I218" s="175"/>
    </row>
    <row r="219" spans="3:11" x14ac:dyDescent="0.2">
      <c r="C219" s="14" t="s">
        <v>244</v>
      </c>
      <c r="D219" s="175">
        <f>D205+D213</f>
        <v>43.453333333333354</v>
      </c>
      <c r="F219" s="14">
        <f>DAY(G219)</f>
        <v>12</v>
      </c>
      <c r="G219" s="49">
        <f>G205+G213</f>
        <v>43.453333333333354</v>
      </c>
      <c r="I219" s="175">
        <f>SUM(H7:I203)</f>
        <v>43.45333333333334</v>
      </c>
      <c r="J219" s="66" t="b">
        <f>D219=I219</f>
        <v>0</v>
      </c>
    </row>
    <row r="220" spans="3:11" x14ac:dyDescent="0.2">
      <c r="D220" s="175"/>
      <c r="G220" s="175"/>
      <c r="I220" s="175"/>
    </row>
    <row r="221" spans="3:11" x14ac:dyDescent="0.2">
      <c r="G221" s="175"/>
      <c r="I221" s="175"/>
    </row>
  </sheetData>
  <mergeCells count="10">
    <mergeCell ref="P5:P6"/>
    <mergeCell ref="Q5:Q6"/>
    <mergeCell ref="R5:R6"/>
    <mergeCell ref="S5:T5"/>
    <mergeCell ref="C5:C6"/>
    <mergeCell ref="D5:G5"/>
    <mergeCell ref="H5:I5"/>
    <mergeCell ref="J5:M5"/>
    <mergeCell ref="N5:N6"/>
    <mergeCell ref="O5:O6"/>
  </mergeCells>
  <conditionalFormatting sqref="P8:P202">
    <cfRule type="containsText" dxfId="194" priority="11" stopIfTrue="1" operator="containsText" text="Closed">
      <formula>NOT(ISERROR(SEARCH("Closed",P8)))</formula>
    </cfRule>
  </conditionalFormatting>
  <conditionalFormatting sqref="B132 F132:G132">
    <cfRule type="expression" dxfId="193" priority="7">
      <formula>$O132=1</formula>
    </cfRule>
  </conditionalFormatting>
  <conditionalFormatting sqref="C132">
    <cfRule type="expression" dxfId="192" priority="6">
      <formula>$O132=1</formula>
    </cfRule>
  </conditionalFormatting>
  <conditionalFormatting sqref="D132">
    <cfRule type="expression" dxfId="191" priority="5">
      <formula>$O132=1</formula>
    </cfRule>
  </conditionalFormatting>
  <conditionalFormatting sqref="E132">
    <cfRule type="expression" dxfId="190" priority="4">
      <formula>$O132=1</formula>
    </cfRule>
  </conditionalFormatting>
  <conditionalFormatting sqref="J132:M132">
    <cfRule type="expression" dxfId="189" priority="3">
      <formula>$O132=1</formula>
    </cfRule>
  </conditionalFormatting>
  <conditionalFormatting sqref="N132">
    <cfRule type="expression" dxfId="188" priority="2">
      <formula>$O132=1</formula>
    </cfRule>
  </conditionalFormatting>
  <conditionalFormatting sqref="T9:T202">
    <cfRule type="cellIs" dxfId="187" priority="1" operator="lessThanOrEqual">
      <formula>50</formula>
    </cfRule>
  </conditionalFormatting>
  <printOptions gridLines="1" gridLinesSet="0"/>
  <pageMargins left="0.75" right="0.75" top="1" bottom="1" header="0.51181102300000003" footer="0.51181102300000003"/>
  <pageSetup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6"/>
  <sheetViews>
    <sheetView workbookViewId="0"/>
  </sheetViews>
  <sheetFormatPr defaultColWidth="9"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7" width="7.625" style="568" bestFit="1" customWidth="1"/>
    <col min="8" max="8" width="2.25" style="568" bestFit="1" customWidth="1"/>
    <col min="9" max="9" width="3.375" style="568" bestFit="1" customWidth="1"/>
    <col min="10" max="10" width="8.375" style="568" bestFit="1" customWidth="1"/>
    <col min="11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16384" width="9" style="568"/>
  </cols>
  <sheetData>
    <row r="2" spans="1:18" ht="15" x14ac:dyDescent="0.2">
      <c r="A2" s="570"/>
      <c r="B2" s="570" t="s">
        <v>320</v>
      </c>
      <c r="C2" s="570">
        <v>894</v>
      </c>
    </row>
    <row r="7" spans="1:18" ht="15" x14ac:dyDescent="0.2">
      <c r="A7" s="570"/>
      <c r="B7" s="570"/>
      <c r="C7" s="570"/>
      <c r="D7" s="570" t="s">
        <v>321</v>
      </c>
      <c r="E7" s="570" t="s">
        <v>322</v>
      </c>
      <c r="F7" s="570" t="s">
        <v>323</v>
      </c>
    </row>
    <row r="9" spans="1:18" ht="15" x14ac:dyDescent="0.2">
      <c r="A9" s="570"/>
      <c r="B9" s="570"/>
      <c r="C9" s="570"/>
      <c r="D9" s="571">
        <v>0</v>
      </c>
      <c r="E9" s="570">
        <v>0</v>
      </c>
      <c r="F9" s="570" t="s">
        <v>1001</v>
      </c>
      <c r="G9" s="570" t="s">
        <v>326</v>
      </c>
      <c r="H9" s="570">
        <v>0</v>
      </c>
      <c r="I9" s="570">
        <v>39</v>
      </c>
      <c r="J9" s="570" t="s">
        <v>327</v>
      </c>
      <c r="K9" s="570" t="s">
        <v>1002</v>
      </c>
      <c r="L9" s="570" t="s">
        <v>1003</v>
      </c>
      <c r="M9" s="570" t="s">
        <v>1004</v>
      </c>
      <c r="N9" s="570" t="s">
        <v>1011</v>
      </c>
      <c r="O9" s="570" t="s">
        <v>1012</v>
      </c>
      <c r="P9" s="570" t="s">
        <v>1007</v>
      </c>
      <c r="Q9" s="570" t="s">
        <v>1008</v>
      </c>
      <c r="R9" s="570">
        <v>80</v>
      </c>
    </row>
    <row r="10" spans="1:18" ht="15" x14ac:dyDescent="0.2">
      <c r="A10" s="570"/>
      <c r="B10" s="570"/>
      <c r="C10" s="570"/>
      <c r="D10" s="571">
        <v>1.3888888888888889E-3</v>
      </c>
      <c r="E10" s="570">
        <v>960</v>
      </c>
      <c r="F10" s="570" t="s">
        <v>1001</v>
      </c>
      <c r="G10" s="570" t="s">
        <v>326</v>
      </c>
      <c r="H10" s="570">
        <v>0</v>
      </c>
      <c r="I10" s="570">
        <v>39</v>
      </c>
      <c r="J10" s="570" t="s">
        <v>327</v>
      </c>
      <c r="K10" s="570" t="s">
        <v>1002</v>
      </c>
      <c r="L10" s="570" t="s">
        <v>1003</v>
      </c>
      <c r="M10" s="570" t="s">
        <v>1004</v>
      </c>
      <c r="N10" s="570" t="s">
        <v>1011</v>
      </c>
      <c r="O10" s="570" t="s">
        <v>1012</v>
      </c>
      <c r="P10" s="570" t="s">
        <v>1009</v>
      </c>
      <c r="Q10" s="570" t="s">
        <v>1008</v>
      </c>
      <c r="R10" s="570">
        <v>80</v>
      </c>
    </row>
    <row r="11" spans="1:18" ht="15" x14ac:dyDescent="0.2">
      <c r="A11" s="570"/>
      <c r="B11" s="570"/>
      <c r="C11" s="570"/>
      <c r="D11" s="571">
        <v>4.8611111111111112E-3</v>
      </c>
      <c r="E11" s="570">
        <v>2400</v>
      </c>
      <c r="F11" s="570" t="s">
        <v>1001</v>
      </c>
      <c r="G11" s="570" t="s">
        <v>326</v>
      </c>
      <c r="H11" s="570">
        <v>0</v>
      </c>
      <c r="I11" s="570">
        <v>39</v>
      </c>
      <c r="J11" s="570" t="s">
        <v>327</v>
      </c>
      <c r="K11" s="570" t="s">
        <v>1002</v>
      </c>
      <c r="L11" s="570" t="s">
        <v>1003</v>
      </c>
      <c r="M11" s="570" t="s">
        <v>1004</v>
      </c>
      <c r="N11" s="570" t="s">
        <v>1011</v>
      </c>
      <c r="O11" s="570" t="s">
        <v>1012</v>
      </c>
      <c r="P11" s="570" t="s">
        <v>1007</v>
      </c>
      <c r="Q11" s="570" t="s">
        <v>1008</v>
      </c>
      <c r="R11" s="570">
        <v>80</v>
      </c>
    </row>
    <row r="12" spans="1:18" ht="15" x14ac:dyDescent="0.2">
      <c r="A12" s="570"/>
      <c r="B12" s="570"/>
      <c r="C12" s="570"/>
      <c r="D12" s="571">
        <v>7.0833333333333331E-2</v>
      </c>
      <c r="E12" s="570">
        <v>45600</v>
      </c>
      <c r="F12" s="570" t="s">
        <v>1001</v>
      </c>
      <c r="G12" s="570" t="s">
        <v>326</v>
      </c>
      <c r="H12" s="570">
        <v>0</v>
      </c>
      <c r="I12" s="570">
        <v>39</v>
      </c>
      <c r="J12" s="570" t="s">
        <v>327</v>
      </c>
      <c r="K12" s="570" t="s">
        <v>1002</v>
      </c>
      <c r="L12" s="570" t="s">
        <v>1003</v>
      </c>
      <c r="M12" s="570" t="s">
        <v>1004</v>
      </c>
      <c r="N12" s="570" t="s">
        <v>1011</v>
      </c>
      <c r="O12" s="570" t="s">
        <v>1012</v>
      </c>
      <c r="P12" s="570" t="s">
        <v>1009</v>
      </c>
      <c r="Q12" s="570" t="s">
        <v>1008</v>
      </c>
      <c r="R12" s="570">
        <v>80</v>
      </c>
    </row>
    <row r="13" spans="1:18" ht="15" x14ac:dyDescent="0.2">
      <c r="A13" s="570"/>
      <c r="B13" s="570"/>
      <c r="C13" s="570"/>
      <c r="D13" s="571">
        <v>7.4305555555555555E-2</v>
      </c>
      <c r="E13" s="570">
        <v>2400</v>
      </c>
      <c r="F13" s="570" t="s">
        <v>1001</v>
      </c>
      <c r="G13" s="570" t="s">
        <v>326</v>
      </c>
      <c r="H13" s="570">
        <v>0</v>
      </c>
      <c r="I13" s="570">
        <v>39</v>
      </c>
      <c r="J13" s="570" t="s">
        <v>327</v>
      </c>
      <c r="K13" s="570" t="s">
        <v>1002</v>
      </c>
      <c r="L13" s="570" t="s">
        <v>1003</v>
      </c>
      <c r="M13" s="570" t="s">
        <v>1004</v>
      </c>
      <c r="N13" s="570" t="s">
        <v>1011</v>
      </c>
      <c r="O13" s="570" t="s">
        <v>1012</v>
      </c>
      <c r="P13" s="570" t="s">
        <v>1007</v>
      </c>
      <c r="Q13" s="570" t="s">
        <v>1008</v>
      </c>
      <c r="R13" s="570">
        <v>80</v>
      </c>
    </row>
    <row r="14" spans="1:18" ht="15" x14ac:dyDescent="0.2">
      <c r="A14" s="570"/>
      <c r="B14" s="570"/>
      <c r="C14" s="570"/>
      <c r="D14" s="571">
        <v>9.8611111111111108E-2</v>
      </c>
      <c r="E14" s="570">
        <v>16800</v>
      </c>
      <c r="F14" s="570" t="s">
        <v>1001</v>
      </c>
      <c r="G14" s="570" t="s">
        <v>326</v>
      </c>
      <c r="H14" s="570">
        <v>0</v>
      </c>
      <c r="I14" s="570">
        <v>39</v>
      </c>
      <c r="J14" s="570" t="s">
        <v>327</v>
      </c>
      <c r="K14" s="570" t="s">
        <v>1002</v>
      </c>
      <c r="L14" s="570" t="s">
        <v>1003</v>
      </c>
      <c r="M14" s="570" t="s">
        <v>1004</v>
      </c>
      <c r="N14" s="570" t="s">
        <v>1011</v>
      </c>
      <c r="O14" s="570" t="s">
        <v>1012</v>
      </c>
      <c r="P14" s="570" t="s">
        <v>1009</v>
      </c>
      <c r="Q14" s="570" t="s">
        <v>1008</v>
      </c>
      <c r="R14" s="570">
        <v>80</v>
      </c>
    </row>
    <row r="15" spans="1:18" ht="15" x14ac:dyDescent="0.2">
      <c r="A15" s="570"/>
      <c r="B15" s="570"/>
      <c r="C15" s="570"/>
      <c r="D15" s="571">
        <v>0.10208333333333335</v>
      </c>
      <c r="E15" s="570">
        <v>2400</v>
      </c>
      <c r="F15" s="570" t="s">
        <v>1001</v>
      </c>
      <c r="G15" s="570" t="s">
        <v>326</v>
      </c>
      <c r="H15" s="570">
        <v>0</v>
      </c>
      <c r="I15" s="570">
        <v>39</v>
      </c>
      <c r="J15" s="570" t="s">
        <v>327</v>
      </c>
      <c r="K15" s="570" t="s">
        <v>1002</v>
      </c>
      <c r="L15" s="570" t="s">
        <v>1003</v>
      </c>
      <c r="M15" s="570" t="s">
        <v>1004</v>
      </c>
      <c r="N15" s="570" t="s">
        <v>1011</v>
      </c>
      <c r="O15" s="570" t="s">
        <v>1012</v>
      </c>
      <c r="P15" s="570" t="s">
        <v>1007</v>
      </c>
      <c r="Q15" s="570" t="s">
        <v>1008</v>
      </c>
      <c r="R15" s="570">
        <v>80</v>
      </c>
    </row>
    <row r="16" spans="1:18" ht="15" x14ac:dyDescent="0.2">
      <c r="A16" s="570"/>
      <c r="B16" s="570"/>
      <c r="C16" s="570"/>
      <c r="D16" s="571">
        <v>0.10208333333333335</v>
      </c>
      <c r="E16" s="570">
        <v>0</v>
      </c>
      <c r="F16" s="570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3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7" width="7.625" style="568" bestFit="1" customWidth="1"/>
    <col min="8" max="8" width="2.25" style="568" bestFit="1" customWidth="1"/>
    <col min="9" max="9" width="4.375" style="568" bestFit="1" customWidth="1"/>
    <col min="10" max="10" width="8.375" style="568" bestFit="1" customWidth="1"/>
    <col min="11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3" width="7.625" style="568" bestFit="1" customWidth="1"/>
    <col min="264" max="264" width="2.25" style="568" bestFit="1" customWidth="1"/>
    <col min="265" max="265" width="4.375" style="568" bestFit="1" customWidth="1"/>
    <col min="266" max="266" width="8.375" style="568" bestFit="1" customWidth="1"/>
    <col min="267" max="269" width="8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19" width="7.625" style="568" bestFit="1" customWidth="1"/>
    <col min="520" max="520" width="2.25" style="568" bestFit="1" customWidth="1"/>
    <col min="521" max="521" width="4.375" style="568" bestFit="1" customWidth="1"/>
    <col min="522" max="522" width="8.375" style="568" bestFit="1" customWidth="1"/>
    <col min="523" max="525" width="8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5" width="7.625" style="568" bestFit="1" customWidth="1"/>
    <col min="776" max="776" width="2.25" style="568" bestFit="1" customWidth="1"/>
    <col min="777" max="777" width="4.375" style="568" bestFit="1" customWidth="1"/>
    <col min="778" max="778" width="8.375" style="568" bestFit="1" customWidth="1"/>
    <col min="779" max="781" width="8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1" width="7.625" style="568" bestFit="1" customWidth="1"/>
    <col min="1032" max="1032" width="2.25" style="568" bestFit="1" customWidth="1"/>
    <col min="1033" max="1033" width="4.375" style="568" bestFit="1" customWidth="1"/>
    <col min="1034" max="1034" width="8.375" style="568" bestFit="1" customWidth="1"/>
    <col min="1035" max="1037" width="8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7" width="7.625" style="568" bestFit="1" customWidth="1"/>
    <col min="1288" max="1288" width="2.25" style="568" bestFit="1" customWidth="1"/>
    <col min="1289" max="1289" width="4.375" style="568" bestFit="1" customWidth="1"/>
    <col min="1290" max="1290" width="8.375" style="568" bestFit="1" customWidth="1"/>
    <col min="1291" max="1293" width="8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3" width="7.625" style="568" bestFit="1" customWidth="1"/>
    <col min="1544" max="1544" width="2.25" style="568" bestFit="1" customWidth="1"/>
    <col min="1545" max="1545" width="4.375" style="568" bestFit="1" customWidth="1"/>
    <col min="1546" max="1546" width="8.375" style="568" bestFit="1" customWidth="1"/>
    <col min="1547" max="1549" width="8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799" width="7.625" style="568" bestFit="1" customWidth="1"/>
    <col min="1800" max="1800" width="2.25" style="568" bestFit="1" customWidth="1"/>
    <col min="1801" max="1801" width="4.375" style="568" bestFit="1" customWidth="1"/>
    <col min="1802" max="1802" width="8.375" style="568" bestFit="1" customWidth="1"/>
    <col min="1803" max="1805" width="8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5" width="7.625" style="568" bestFit="1" customWidth="1"/>
    <col min="2056" max="2056" width="2.25" style="568" bestFit="1" customWidth="1"/>
    <col min="2057" max="2057" width="4.375" style="568" bestFit="1" customWidth="1"/>
    <col min="2058" max="2058" width="8.375" style="568" bestFit="1" customWidth="1"/>
    <col min="2059" max="2061" width="8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1" width="7.625" style="568" bestFit="1" customWidth="1"/>
    <col min="2312" max="2312" width="2.25" style="568" bestFit="1" customWidth="1"/>
    <col min="2313" max="2313" width="4.375" style="568" bestFit="1" customWidth="1"/>
    <col min="2314" max="2314" width="8.375" style="568" bestFit="1" customWidth="1"/>
    <col min="2315" max="2317" width="8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7" width="7.625" style="568" bestFit="1" customWidth="1"/>
    <col min="2568" max="2568" width="2.25" style="568" bestFit="1" customWidth="1"/>
    <col min="2569" max="2569" width="4.375" style="568" bestFit="1" customWidth="1"/>
    <col min="2570" max="2570" width="8.375" style="568" bestFit="1" customWidth="1"/>
    <col min="2571" max="2573" width="8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3" width="7.625" style="568" bestFit="1" customWidth="1"/>
    <col min="2824" max="2824" width="2.25" style="568" bestFit="1" customWidth="1"/>
    <col min="2825" max="2825" width="4.375" style="568" bestFit="1" customWidth="1"/>
    <col min="2826" max="2826" width="8.375" style="568" bestFit="1" customWidth="1"/>
    <col min="2827" max="2829" width="8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79" width="7.625" style="568" bestFit="1" customWidth="1"/>
    <col min="3080" max="3080" width="2.25" style="568" bestFit="1" customWidth="1"/>
    <col min="3081" max="3081" width="4.375" style="568" bestFit="1" customWidth="1"/>
    <col min="3082" max="3082" width="8.375" style="568" bestFit="1" customWidth="1"/>
    <col min="3083" max="3085" width="8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5" width="7.625" style="568" bestFit="1" customWidth="1"/>
    <col min="3336" max="3336" width="2.25" style="568" bestFit="1" customWidth="1"/>
    <col min="3337" max="3337" width="4.375" style="568" bestFit="1" customWidth="1"/>
    <col min="3338" max="3338" width="8.375" style="568" bestFit="1" customWidth="1"/>
    <col min="3339" max="3341" width="8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1" width="7.625" style="568" bestFit="1" customWidth="1"/>
    <col min="3592" max="3592" width="2.25" style="568" bestFit="1" customWidth="1"/>
    <col min="3593" max="3593" width="4.375" style="568" bestFit="1" customWidth="1"/>
    <col min="3594" max="3594" width="8.375" style="568" bestFit="1" customWidth="1"/>
    <col min="3595" max="3597" width="8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7" width="7.625" style="568" bestFit="1" customWidth="1"/>
    <col min="3848" max="3848" width="2.25" style="568" bestFit="1" customWidth="1"/>
    <col min="3849" max="3849" width="4.375" style="568" bestFit="1" customWidth="1"/>
    <col min="3850" max="3850" width="8.375" style="568" bestFit="1" customWidth="1"/>
    <col min="3851" max="3853" width="8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3" width="7.625" style="568" bestFit="1" customWidth="1"/>
    <col min="4104" max="4104" width="2.25" style="568" bestFit="1" customWidth="1"/>
    <col min="4105" max="4105" width="4.375" style="568" bestFit="1" customWidth="1"/>
    <col min="4106" max="4106" width="8.375" style="568" bestFit="1" customWidth="1"/>
    <col min="4107" max="4109" width="8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59" width="7.625" style="568" bestFit="1" customWidth="1"/>
    <col min="4360" max="4360" width="2.25" style="568" bestFit="1" customWidth="1"/>
    <col min="4361" max="4361" width="4.375" style="568" bestFit="1" customWidth="1"/>
    <col min="4362" max="4362" width="8.375" style="568" bestFit="1" customWidth="1"/>
    <col min="4363" max="4365" width="8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5" width="7.625" style="568" bestFit="1" customWidth="1"/>
    <col min="4616" max="4616" width="2.25" style="568" bestFit="1" customWidth="1"/>
    <col min="4617" max="4617" width="4.375" style="568" bestFit="1" customWidth="1"/>
    <col min="4618" max="4618" width="8.375" style="568" bestFit="1" customWidth="1"/>
    <col min="4619" max="4621" width="8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1" width="7.625" style="568" bestFit="1" customWidth="1"/>
    <col min="4872" max="4872" width="2.25" style="568" bestFit="1" customWidth="1"/>
    <col min="4873" max="4873" width="4.375" style="568" bestFit="1" customWidth="1"/>
    <col min="4874" max="4874" width="8.375" style="568" bestFit="1" customWidth="1"/>
    <col min="4875" max="4877" width="8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7" width="7.625" style="568" bestFit="1" customWidth="1"/>
    <col min="5128" max="5128" width="2.25" style="568" bestFit="1" customWidth="1"/>
    <col min="5129" max="5129" width="4.375" style="568" bestFit="1" customWidth="1"/>
    <col min="5130" max="5130" width="8.375" style="568" bestFit="1" customWidth="1"/>
    <col min="5131" max="5133" width="8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3" width="7.625" style="568" bestFit="1" customWidth="1"/>
    <col min="5384" max="5384" width="2.25" style="568" bestFit="1" customWidth="1"/>
    <col min="5385" max="5385" width="4.375" style="568" bestFit="1" customWidth="1"/>
    <col min="5386" max="5386" width="8.375" style="568" bestFit="1" customWidth="1"/>
    <col min="5387" max="5389" width="8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39" width="7.625" style="568" bestFit="1" customWidth="1"/>
    <col min="5640" max="5640" width="2.25" style="568" bestFit="1" customWidth="1"/>
    <col min="5641" max="5641" width="4.375" style="568" bestFit="1" customWidth="1"/>
    <col min="5642" max="5642" width="8.375" style="568" bestFit="1" customWidth="1"/>
    <col min="5643" max="5645" width="8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5" width="7.625" style="568" bestFit="1" customWidth="1"/>
    <col min="5896" max="5896" width="2.25" style="568" bestFit="1" customWidth="1"/>
    <col min="5897" max="5897" width="4.375" style="568" bestFit="1" customWidth="1"/>
    <col min="5898" max="5898" width="8.375" style="568" bestFit="1" customWidth="1"/>
    <col min="5899" max="5901" width="8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1" width="7.625" style="568" bestFit="1" customWidth="1"/>
    <col min="6152" max="6152" width="2.25" style="568" bestFit="1" customWidth="1"/>
    <col min="6153" max="6153" width="4.375" style="568" bestFit="1" customWidth="1"/>
    <col min="6154" max="6154" width="8.375" style="568" bestFit="1" customWidth="1"/>
    <col min="6155" max="6157" width="8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7" width="7.625" style="568" bestFit="1" customWidth="1"/>
    <col min="6408" max="6408" width="2.25" style="568" bestFit="1" customWidth="1"/>
    <col min="6409" max="6409" width="4.375" style="568" bestFit="1" customWidth="1"/>
    <col min="6410" max="6410" width="8.375" style="568" bestFit="1" customWidth="1"/>
    <col min="6411" max="6413" width="8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3" width="7.625" style="568" bestFit="1" customWidth="1"/>
    <col min="6664" max="6664" width="2.25" style="568" bestFit="1" customWidth="1"/>
    <col min="6665" max="6665" width="4.375" style="568" bestFit="1" customWidth="1"/>
    <col min="6666" max="6666" width="8.375" style="568" bestFit="1" customWidth="1"/>
    <col min="6667" max="6669" width="8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19" width="7.625" style="568" bestFit="1" customWidth="1"/>
    <col min="6920" max="6920" width="2.25" style="568" bestFit="1" customWidth="1"/>
    <col min="6921" max="6921" width="4.375" style="568" bestFit="1" customWidth="1"/>
    <col min="6922" max="6922" width="8.375" style="568" bestFit="1" customWidth="1"/>
    <col min="6923" max="6925" width="8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5" width="7.625" style="568" bestFit="1" customWidth="1"/>
    <col min="7176" max="7176" width="2.25" style="568" bestFit="1" customWidth="1"/>
    <col min="7177" max="7177" width="4.375" style="568" bestFit="1" customWidth="1"/>
    <col min="7178" max="7178" width="8.375" style="568" bestFit="1" customWidth="1"/>
    <col min="7179" max="7181" width="8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1" width="7.625" style="568" bestFit="1" customWidth="1"/>
    <col min="7432" max="7432" width="2.25" style="568" bestFit="1" customWidth="1"/>
    <col min="7433" max="7433" width="4.375" style="568" bestFit="1" customWidth="1"/>
    <col min="7434" max="7434" width="8.375" style="568" bestFit="1" customWidth="1"/>
    <col min="7435" max="7437" width="8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7" width="7.625" style="568" bestFit="1" customWidth="1"/>
    <col min="7688" max="7688" width="2.25" style="568" bestFit="1" customWidth="1"/>
    <col min="7689" max="7689" width="4.375" style="568" bestFit="1" customWidth="1"/>
    <col min="7690" max="7690" width="8.375" style="568" bestFit="1" customWidth="1"/>
    <col min="7691" max="7693" width="8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3" width="7.625" style="568" bestFit="1" customWidth="1"/>
    <col min="7944" max="7944" width="2.25" style="568" bestFit="1" customWidth="1"/>
    <col min="7945" max="7945" width="4.375" style="568" bestFit="1" customWidth="1"/>
    <col min="7946" max="7946" width="8.375" style="568" bestFit="1" customWidth="1"/>
    <col min="7947" max="7949" width="8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199" width="7.625" style="568" bestFit="1" customWidth="1"/>
    <col min="8200" max="8200" width="2.25" style="568" bestFit="1" customWidth="1"/>
    <col min="8201" max="8201" width="4.375" style="568" bestFit="1" customWidth="1"/>
    <col min="8202" max="8202" width="8.375" style="568" bestFit="1" customWidth="1"/>
    <col min="8203" max="8205" width="8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5" width="7.625" style="568" bestFit="1" customWidth="1"/>
    <col min="8456" max="8456" width="2.25" style="568" bestFit="1" customWidth="1"/>
    <col min="8457" max="8457" width="4.375" style="568" bestFit="1" customWidth="1"/>
    <col min="8458" max="8458" width="8.375" style="568" bestFit="1" customWidth="1"/>
    <col min="8459" max="8461" width="8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1" width="7.625" style="568" bestFit="1" customWidth="1"/>
    <col min="8712" max="8712" width="2.25" style="568" bestFit="1" customWidth="1"/>
    <col min="8713" max="8713" width="4.375" style="568" bestFit="1" customWidth="1"/>
    <col min="8714" max="8714" width="8.375" style="568" bestFit="1" customWidth="1"/>
    <col min="8715" max="8717" width="8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7" width="7.625" style="568" bestFit="1" customWidth="1"/>
    <col min="8968" max="8968" width="2.25" style="568" bestFit="1" customWidth="1"/>
    <col min="8969" max="8969" width="4.375" style="568" bestFit="1" customWidth="1"/>
    <col min="8970" max="8970" width="8.375" style="568" bestFit="1" customWidth="1"/>
    <col min="8971" max="8973" width="8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3" width="7.625" style="568" bestFit="1" customWidth="1"/>
    <col min="9224" max="9224" width="2.25" style="568" bestFit="1" customWidth="1"/>
    <col min="9225" max="9225" width="4.375" style="568" bestFit="1" customWidth="1"/>
    <col min="9226" max="9226" width="8.375" style="568" bestFit="1" customWidth="1"/>
    <col min="9227" max="9229" width="8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79" width="7.625" style="568" bestFit="1" customWidth="1"/>
    <col min="9480" max="9480" width="2.25" style="568" bestFit="1" customWidth="1"/>
    <col min="9481" max="9481" width="4.375" style="568" bestFit="1" customWidth="1"/>
    <col min="9482" max="9482" width="8.375" style="568" bestFit="1" customWidth="1"/>
    <col min="9483" max="9485" width="8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5" width="7.625" style="568" bestFit="1" customWidth="1"/>
    <col min="9736" max="9736" width="2.25" style="568" bestFit="1" customWidth="1"/>
    <col min="9737" max="9737" width="4.375" style="568" bestFit="1" customWidth="1"/>
    <col min="9738" max="9738" width="8.375" style="568" bestFit="1" customWidth="1"/>
    <col min="9739" max="9741" width="8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1" width="7.625" style="568" bestFit="1" customWidth="1"/>
    <col min="9992" max="9992" width="2.25" style="568" bestFit="1" customWidth="1"/>
    <col min="9993" max="9993" width="4.375" style="568" bestFit="1" customWidth="1"/>
    <col min="9994" max="9994" width="8.375" style="568" bestFit="1" customWidth="1"/>
    <col min="9995" max="9997" width="8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7" width="7.625" style="568" bestFit="1" customWidth="1"/>
    <col min="10248" max="10248" width="2.25" style="568" bestFit="1" customWidth="1"/>
    <col min="10249" max="10249" width="4.375" style="568" bestFit="1" customWidth="1"/>
    <col min="10250" max="10250" width="8.375" style="568" bestFit="1" customWidth="1"/>
    <col min="10251" max="10253" width="8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3" width="7.625" style="568" bestFit="1" customWidth="1"/>
    <col min="10504" max="10504" width="2.25" style="568" bestFit="1" customWidth="1"/>
    <col min="10505" max="10505" width="4.375" style="568" bestFit="1" customWidth="1"/>
    <col min="10506" max="10506" width="8.375" style="568" bestFit="1" customWidth="1"/>
    <col min="10507" max="10509" width="8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59" width="7.625" style="568" bestFit="1" customWidth="1"/>
    <col min="10760" max="10760" width="2.25" style="568" bestFit="1" customWidth="1"/>
    <col min="10761" max="10761" width="4.375" style="568" bestFit="1" customWidth="1"/>
    <col min="10762" max="10762" width="8.375" style="568" bestFit="1" customWidth="1"/>
    <col min="10763" max="10765" width="8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5" width="7.625" style="568" bestFit="1" customWidth="1"/>
    <col min="11016" max="11016" width="2.25" style="568" bestFit="1" customWidth="1"/>
    <col min="11017" max="11017" width="4.375" style="568" bestFit="1" customWidth="1"/>
    <col min="11018" max="11018" width="8.375" style="568" bestFit="1" customWidth="1"/>
    <col min="11019" max="11021" width="8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1" width="7.625" style="568" bestFit="1" customWidth="1"/>
    <col min="11272" max="11272" width="2.25" style="568" bestFit="1" customWidth="1"/>
    <col min="11273" max="11273" width="4.375" style="568" bestFit="1" customWidth="1"/>
    <col min="11274" max="11274" width="8.375" style="568" bestFit="1" customWidth="1"/>
    <col min="11275" max="11277" width="8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7" width="7.625" style="568" bestFit="1" customWidth="1"/>
    <col min="11528" max="11528" width="2.25" style="568" bestFit="1" customWidth="1"/>
    <col min="11529" max="11529" width="4.375" style="568" bestFit="1" customWidth="1"/>
    <col min="11530" max="11530" width="8.375" style="568" bestFit="1" customWidth="1"/>
    <col min="11531" max="11533" width="8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3" width="7.625" style="568" bestFit="1" customWidth="1"/>
    <col min="11784" max="11784" width="2.25" style="568" bestFit="1" customWidth="1"/>
    <col min="11785" max="11785" width="4.375" style="568" bestFit="1" customWidth="1"/>
    <col min="11786" max="11786" width="8.375" style="568" bestFit="1" customWidth="1"/>
    <col min="11787" max="11789" width="8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39" width="7.625" style="568" bestFit="1" customWidth="1"/>
    <col min="12040" max="12040" width="2.25" style="568" bestFit="1" customWidth="1"/>
    <col min="12041" max="12041" width="4.375" style="568" bestFit="1" customWidth="1"/>
    <col min="12042" max="12042" width="8.375" style="568" bestFit="1" customWidth="1"/>
    <col min="12043" max="12045" width="8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5" width="7.625" style="568" bestFit="1" customWidth="1"/>
    <col min="12296" max="12296" width="2.25" style="568" bestFit="1" customWidth="1"/>
    <col min="12297" max="12297" width="4.375" style="568" bestFit="1" customWidth="1"/>
    <col min="12298" max="12298" width="8.375" style="568" bestFit="1" customWidth="1"/>
    <col min="12299" max="12301" width="8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1" width="7.625" style="568" bestFit="1" customWidth="1"/>
    <col min="12552" max="12552" width="2.25" style="568" bestFit="1" customWidth="1"/>
    <col min="12553" max="12553" width="4.375" style="568" bestFit="1" customWidth="1"/>
    <col min="12554" max="12554" width="8.375" style="568" bestFit="1" customWidth="1"/>
    <col min="12555" max="12557" width="8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7" width="7.625" style="568" bestFit="1" customWidth="1"/>
    <col min="12808" max="12808" width="2.25" style="568" bestFit="1" customWidth="1"/>
    <col min="12809" max="12809" width="4.375" style="568" bestFit="1" customWidth="1"/>
    <col min="12810" max="12810" width="8.375" style="568" bestFit="1" customWidth="1"/>
    <col min="12811" max="12813" width="8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3" width="7.625" style="568" bestFit="1" customWidth="1"/>
    <col min="13064" max="13064" width="2.25" style="568" bestFit="1" customWidth="1"/>
    <col min="13065" max="13065" width="4.375" style="568" bestFit="1" customWidth="1"/>
    <col min="13066" max="13066" width="8.375" style="568" bestFit="1" customWidth="1"/>
    <col min="13067" max="13069" width="8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19" width="7.625" style="568" bestFit="1" customWidth="1"/>
    <col min="13320" max="13320" width="2.25" style="568" bestFit="1" customWidth="1"/>
    <col min="13321" max="13321" width="4.375" style="568" bestFit="1" customWidth="1"/>
    <col min="13322" max="13322" width="8.375" style="568" bestFit="1" customWidth="1"/>
    <col min="13323" max="13325" width="8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5" width="7.625" style="568" bestFit="1" customWidth="1"/>
    <col min="13576" max="13576" width="2.25" style="568" bestFit="1" customWidth="1"/>
    <col min="13577" max="13577" width="4.375" style="568" bestFit="1" customWidth="1"/>
    <col min="13578" max="13578" width="8.375" style="568" bestFit="1" customWidth="1"/>
    <col min="13579" max="13581" width="8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1" width="7.625" style="568" bestFit="1" customWidth="1"/>
    <col min="13832" max="13832" width="2.25" style="568" bestFit="1" customWidth="1"/>
    <col min="13833" max="13833" width="4.375" style="568" bestFit="1" customWidth="1"/>
    <col min="13834" max="13834" width="8.375" style="568" bestFit="1" customWidth="1"/>
    <col min="13835" max="13837" width="8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7" width="7.625" style="568" bestFit="1" customWidth="1"/>
    <col min="14088" max="14088" width="2.25" style="568" bestFit="1" customWidth="1"/>
    <col min="14089" max="14089" width="4.375" style="568" bestFit="1" customWidth="1"/>
    <col min="14090" max="14090" width="8.375" style="568" bestFit="1" customWidth="1"/>
    <col min="14091" max="14093" width="8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3" width="7.625" style="568" bestFit="1" customWidth="1"/>
    <col min="14344" max="14344" width="2.25" style="568" bestFit="1" customWidth="1"/>
    <col min="14345" max="14345" width="4.375" style="568" bestFit="1" customWidth="1"/>
    <col min="14346" max="14346" width="8.375" style="568" bestFit="1" customWidth="1"/>
    <col min="14347" max="14349" width="8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599" width="7.625" style="568" bestFit="1" customWidth="1"/>
    <col min="14600" max="14600" width="2.25" style="568" bestFit="1" customWidth="1"/>
    <col min="14601" max="14601" width="4.375" style="568" bestFit="1" customWidth="1"/>
    <col min="14602" max="14602" width="8.375" style="568" bestFit="1" customWidth="1"/>
    <col min="14603" max="14605" width="8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5" width="7.625" style="568" bestFit="1" customWidth="1"/>
    <col min="14856" max="14856" width="2.25" style="568" bestFit="1" customWidth="1"/>
    <col min="14857" max="14857" width="4.375" style="568" bestFit="1" customWidth="1"/>
    <col min="14858" max="14858" width="8.375" style="568" bestFit="1" customWidth="1"/>
    <col min="14859" max="14861" width="8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1" width="7.625" style="568" bestFit="1" customWidth="1"/>
    <col min="15112" max="15112" width="2.25" style="568" bestFit="1" customWidth="1"/>
    <col min="15113" max="15113" width="4.375" style="568" bestFit="1" customWidth="1"/>
    <col min="15114" max="15114" width="8.375" style="568" bestFit="1" customWidth="1"/>
    <col min="15115" max="15117" width="8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7" width="7.625" style="568" bestFit="1" customWidth="1"/>
    <col min="15368" max="15368" width="2.25" style="568" bestFit="1" customWidth="1"/>
    <col min="15369" max="15369" width="4.375" style="568" bestFit="1" customWidth="1"/>
    <col min="15370" max="15370" width="8.375" style="568" bestFit="1" customWidth="1"/>
    <col min="15371" max="15373" width="8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3" width="7.625" style="568" bestFit="1" customWidth="1"/>
    <col min="15624" max="15624" width="2.25" style="568" bestFit="1" customWidth="1"/>
    <col min="15625" max="15625" width="4.375" style="568" bestFit="1" customWidth="1"/>
    <col min="15626" max="15626" width="8.375" style="568" bestFit="1" customWidth="1"/>
    <col min="15627" max="15629" width="8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79" width="7.625" style="568" bestFit="1" customWidth="1"/>
    <col min="15880" max="15880" width="2.25" style="568" bestFit="1" customWidth="1"/>
    <col min="15881" max="15881" width="4.375" style="568" bestFit="1" customWidth="1"/>
    <col min="15882" max="15882" width="8.375" style="568" bestFit="1" customWidth="1"/>
    <col min="15883" max="15885" width="8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5" width="7.625" style="568" bestFit="1" customWidth="1"/>
    <col min="16136" max="16136" width="2.25" style="568" bestFit="1" customWidth="1"/>
    <col min="16137" max="16137" width="4.375" style="568" bestFit="1" customWidth="1"/>
    <col min="16138" max="16138" width="8.375" style="568" bestFit="1" customWidth="1"/>
    <col min="16139" max="16141" width="8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901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401</v>
      </c>
      <c r="J9" s="567" t="s">
        <v>327</v>
      </c>
      <c r="K9" s="567" t="s">
        <v>1002</v>
      </c>
      <c r="L9" s="567" t="s">
        <v>1003</v>
      </c>
      <c r="M9" s="567" t="s">
        <v>1004</v>
      </c>
      <c r="N9" s="567" t="s">
        <v>1011</v>
      </c>
      <c r="O9" s="567" t="s">
        <v>1012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0.13055555555555556</v>
      </c>
      <c r="E10" s="567">
        <v>90240</v>
      </c>
      <c r="F10" s="567" t="s">
        <v>1001</v>
      </c>
      <c r="G10" s="567" t="s">
        <v>326</v>
      </c>
      <c r="H10" s="567">
        <v>0</v>
      </c>
      <c r="I10" s="567">
        <v>401</v>
      </c>
      <c r="J10" s="567" t="s">
        <v>327</v>
      </c>
      <c r="K10" s="567" t="s">
        <v>1002</v>
      </c>
      <c r="L10" s="567" t="s">
        <v>1003</v>
      </c>
      <c r="M10" s="567" t="s">
        <v>1004</v>
      </c>
      <c r="N10" s="567" t="s">
        <v>1011</v>
      </c>
      <c r="O10" s="567" t="s">
        <v>1012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0.1388888888888889</v>
      </c>
      <c r="E11" s="567">
        <v>5760</v>
      </c>
      <c r="F11" s="567" t="s">
        <v>1001</v>
      </c>
      <c r="G11" s="567" t="s">
        <v>326</v>
      </c>
      <c r="H11" s="567">
        <v>0</v>
      </c>
      <c r="I11" s="567">
        <v>97</v>
      </c>
      <c r="J11" s="567" t="s">
        <v>1010</v>
      </c>
      <c r="K11" s="567" t="s">
        <v>1002</v>
      </c>
      <c r="L11" s="567" t="s">
        <v>1003</v>
      </c>
      <c r="M11" s="567" t="s">
        <v>1004</v>
      </c>
      <c r="N11" s="567" t="s">
        <v>1005</v>
      </c>
      <c r="O11" s="567" t="s">
        <v>1006</v>
      </c>
      <c r="P11" s="567" t="s">
        <v>1007</v>
      </c>
      <c r="Q11" s="567" t="s">
        <v>1008</v>
      </c>
      <c r="R11" s="567">
        <v>80</v>
      </c>
    </row>
    <row r="12" spans="1:18" ht="15" x14ac:dyDescent="0.2">
      <c r="A12" s="567"/>
      <c r="B12" s="567"/>
      <c r="C12" s="567"/>
      <c r="D12" s="569">
        <v>0.25638888888888889</v>
      </c>
      <c r="E12" s="567">
        <v>81216</v>
      </c>
      <c r="F12" s="567" t="s">
        <v>1001</v>
      </c>
      <c r="G12" s="567" t="s">
        <v>326</v>
      </c>
      <c r="H12" s="567">
        <v>0</v>
      </c>
      <c r="I12" s="567">
        <v>97</v>
      </c>
      <c r="J12" s="567" t="s">
        <v>1010</v>
      </c>
      <c r="K12" s="567" t="s">
        <v>1002</v>
      </c>
      <c r="L12" s="567" t="s">
        <v>1003</v>
      </c>
      <c r="M12" s="567" t="s">
        <v>1004</v>
      </c>
      <c r="N12" s="567" t="s">
        <v>1005</v>
      </c>
      <c r="O12" s="567" t="s">
        <v>1006</v>
      </c>
      <c r="P12" s="567" t="s">
        <v>1009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0.25638888888888889</v>
      </c>
      <c r="E13" s="567">
        <v>0</v>
      </c>
      <c r="F13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6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8" width="7.625" style="568" bestFit="1" customWidth="1"/>
    <col min="9" max="9" width="5" style="568" bestFit="1" customWidth="1"/>
    <col min="10" max="10" width="8.375" style="568" bestFit="1" customWidth="1"/>
    <col min="11" max="11" width="18.75" style="568" bestFit="1" customWidth="1"/>
    <col min="12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4" width="7.625" style="568" bestFit="1" customWidth="1"/>
    <col min="265" max="265" width="5" style="568" bestFit="1" customWidth="1"/>
    <col min="266" max="266" width="8.375" style="568" bestFit="1" customWidth="1"/>
    <col min="267" max="267" width="18.75" style="568" bestFit="1" customWidth="1"/>
    <col min="268" max="269" width="8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20" width="7.625" style="568" bestFit="1" customWidth="1"/>
    <col min="521" max="521" width="5" style="568" bestFit="1" customWidth="1"/>
    <col min="522" max="522" width="8.375" style="568" bestFit="1" customWidth="1"/>
    <col min="523" max="523" width="18.75" style="568" bestFit="1" customWidth="1"/>
    <col min="524" max="525" width="8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6" width="7.625" style="568" bestFit="1" customWidth="1"/>
    <col min="777" max="777" width="5" style="568" bestFit="1" customWidth="1"/>
    <col min="778" max="778" width="8.375" style="568" bestFit="1" customWidth="1"/>
    <col min="779" max="779" width="18.75" style="568" bestFit="1" customWidth="1"/>
    <col min="780" max="781" width="8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2" width="7.625" style="568" bestFit="1" customWidth="1"/>
    <col min="1033" max="1033" width="5" style="568" bestFit="1" customWidth="1"/>
    <col min="1034" max="1034" width="8.375" style="568" bestFit="1" customWidth="1"/>
    <col min="1035" max="1035" width="18.75" style="568" bestFit="1" customWidth="1"/>
    <col min="1036" max="1037" width="8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8" width="7.625" style="568" bestFit="1" customWidth="1"/>
    <col min="1289" max="1289" width="5" style="568" bestFit="1" customWidth="1"/>
    <col min="1290" max="1290" width="8.375" style="568" bestFit="1" customWidth="1"/>
    <col min="1291" max="1291" width="18.75" style="568" bestFit="1" customWidth="1"/>
    <col min="1292" max="1293" width="8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4" width="7.625" style="568" bestFit="1" customWidth="1"/>
    <col min="1545" max="1545" width="5" style="568" bestFit="1" customWidth="1"/>
    <col min="1546" max="1546" width="8.375" style="568" bestFit="1" customWidth="1"/>
    <col min="1547" max="1547" width="18.75" style="568" bestFit="1" customWidth="1"/>
    <col min="1548" max="1549" width="8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800" width="7.625" style="568" bestFit="1" customWidth="1"/>
    <col min="1801" max="1801" width="5" style="568" bestFit="1" customWidth="1"/>
    <col min="1802" max="1802" width="8.375" style="568" bestFit="1" customWidth="1"/>
    <col min="1803" max="1803" width="18.75" style="568" bestFit="1" customWidth="1"/>
    <col min="1804" max="1805" width="8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6" width="7.625" style="568" bestFit="1" customWidth="1"/>
    <col min="2057" max="2057" width="5" style="568" bestFit="1" customWidth="1"/>
    <col min="2058" max="2058" width="8.375" style="568" bestFit="1" customWidth="1"/>
    <col min="2059" max="2059" width="18.75" style="568" bestFit="1" customWidth="1"/>
    <col min="2060" max="2061" width="8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2" width="7.625" style="568" bestFit="1" customWidth="1"/>
    <col min="2313" max="2313" width="5" style="568" bestFit="1" customWidth="1"/>
    <col min="2314" max="2314" width="8.375" style="568" bestFit="1" customWidth="1"/>
    <col min="2315" max="2315" width="18.75" style="568" bestFit="1" customWidth="1"/>
    <col min="2316" max="2317" width="8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8" width="7.625" style="568" bestFit="1" customWidth="1"/>
    <col min="2569" max="2569" width="5" style="568" bestFit="1" customWidth="1"/>
    <col min="2570" max="2570" width="8.375" style="568" bestFit="1" customWidth="1"/>
    <col min="2571" max="2571" width="18.75" style="568" bestFit="1" customWidth="1"/>
    <col min="2572" max="2573" width="8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4" width="7.625" style="568" bestFit="1" customWidth="1"/>
    <col min="2825" max="2825" width="5" style="568" bestFit="1" customWidth="1"/>
    <col min="2826" max="2826" width="8.375" style="568" bestFit="1" customWidth="1"/>
    <col min="2827" max="2827" width="18.75" style="568" bestFit="1" customWidth="1"/>
    <col min="2828" max="2829" width="8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80" width="7.625" style="568" bestFit="1" customWidth="1"/>
    <col min="3081" max="3081" width="5" style="568" bestFit="1" customWidth="1"/>
    <col min="3082" max="3082" width="8.375" style="568" bestFit="1" customWidth="1"/>
    <col min="3083" max="3083" width="18.75" style="568" bestFit="1" customWidth="1"/>
    <col min="3084" max="3085" width="8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6" width="7.625" style="568" bestFit="1" customWidth="1"/>
    <col min="3337" max="3337" width="5" style="568" bestFit="1" customWidth="1"/>
    <col min="3338" max="3338" width="8.375" style="568" bestFit="1" customWidth="1"/>
    <col min="3339" max="3339" width="18.75" style="568" bestFit="1" customWidth="1"/>
    <col min="3340" max="3341" width="8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2" width="7.625" style="568" bestFit="1" customWidth="1"/>
    <col min="3593" max="3593" width="5" style="568" bestFit="1" customWidth="1"/>
    <col min="3594" max="3594" width="8.375" style="568" bestFit="1" customWidth="1"/>
    <col min="3595" max="3595" width="18.75" style="568" bestFit="1" customWidth="1"/>
    <col min="3596" max="3597" width="8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8" width="7.625" style="568" bestFit="1" customWidth="1"/>
    <col min="3849" max="3849" width="5" style="568" bestFit="1" customWidth="1"/>
    <col min="3850" max="3850" width="8.375" style="568" bestFit="1" customWidth="1"/>
    <col min="3851" max="3851" width="18.75" style="568" bestFit="1" customWidth="1"/>
    <col min="3852" max="3853" width="8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4" width="7.625" style="568" bestFit="1" customWidth="1"/>
    <col min="4105" max="4105" width="5" style="568" bestFit="1" customWidth="1"/>
    <col min="4106" max="4106" width="8.375" style="568" bestFit="1" customWidth="1"/>
    <col min="4107" max="4107" width="18.75" style="568" bestFit="1" customWidth="1"/>
    <col min="4108" max="4109" width="8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60" width="7.625" style="568" bestFit="1" customWidth="1"/>
    <col min="4361" max="4361" width="5" style="568" bestFit="1" customWidth="1"/>
    <col min="4362" max="4362" width="8.375" style="568" bestFit="1" customWidth="1"/>
    <col min="4363" max="4363" width="18.75" style="568" bestFit="1" customWidth="1"/>
    <col min="4364" max="4365" width="8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6" width="7.625" style="568" bestFit="1" customWidth="1"/>
    <col min="4617" max="4617" width="5" style="568" bestFit="1" customWidth="1"/>
    <col min="4618" max="4618" width="8.375" style="568" bestFit="1" customWidth="1"/>
    <col min="4619" max="4619" width="18.75" style="568" bestFit="1" customWidth="1"/>
    <col min="4620" max="4621" width="8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2" width="7.625" style="568" bestFit="1" customWidth="1"/>
    <col min="4873" max="4873" width="5" style="568" bestFit="1" customWidth="1"/>
    <col min="4874" max="4874" width="8.375" style="568" bestFit="1" customWidth="1"/>
    <col min="4875" max="4875" width="18.75" style="568" bestFit="1" customWidth="1"/>
    <col min="4876" max="4877" width="8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8" width="7.625" style="568" bestFit="1" customWidth="1"/>
    <col min="5129" max="5129" width="5" style="568" bestFit="1" customWidth="1"/>
    <col min="5130" max="5130" width="8.375" style="568" bestFit="1" customWidth="1"/>
    <col min="5131" max="5131" width="18.75" style="568" bestFit="1" customWidth="1"/>
    <col min="5132" max="5133" width="8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4" width="7.625" style="568" bestFit="1" customWidth="1"/>
    <col min="5385" max="5385" width="5" style="568" bestFit="1" customWidth="1"/>
    <col min="5386" max="5386" width="8.375" style="568" bestFit="1" customWidth="1"/>
    <col min="5387" max="5387" width="18.75" style="568" bestFit="1" customWidth="1"/>
    <col min="5388" max="5389" width="8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40" width="7.625" style="568" bestFit="1" customWidth="1"/>
    <col min="5641" max="5641" width="5" style="568" bestFit="1" customWidth="1"/>
    <col min="5642" max="5642" width="8.375" style="568" bestFit="1" customWidth="1"/>
    <col min="5643" max="5643" width="18.75" style="568" bestFit="1" customWidth="1"/>
    <col min="5644" max="5645" width="8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6" width="7.625" style="568" bestFit="1" customWidth="1"/>
    <col min="5897" max="5897" width="5" style="568" bestFit="1" customWidth="1"/>
    <col min="5898" max="5898" width="8.375" style="568" bestFit="1" customWidth="1"/>
    <col min="5899" max="5899" width="18.75" style="568" bestFit="1" customWidth="1"/>
    <col min="5900" max="5901" width="8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2" width="7.625" style="568" bestFit="1" customWidth="1"/>
    <col min="6153" max="6153" width="5" style="568" bestFit="1" customWidth="1"/>
    <col min="6154" max="6154" width="8.375" style="568" bestFit="1" customWidth="1"/>
    <col min="6155" max="6155" width="18.75" style="568" bestFit="1" customWidth="1"/>
    <col min="6156" max="6157" width="8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8" width="7.625" style="568" bestFit="1" customWidth="1"/>
    <col min="6409" max="6409" width="5" style="568" bestFit="1" customWidth="1"/>
    <col min="6410" max="6410" width="8.375" style="568" bestFit="1" customWidth="1"/>
    <col min="6411" max="6411" width="18.75" style="568" bestFit="1" customWidth="1"/>
    <col min="6412" max="6413" width="8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4" width="7.625" style="568" bestFit="1" customWidth="1"/>
    <col min="6665" max="6665" width="5" style="568" bestFit="1" customWidth="1"/>
    <col min="6666" max="6666" width="8.375" style="568" bestFit="1" customWidth="1"/>
    <col min="6667" max="6667" width="18.75" style="568" bestFit="1" customWidth="1"/>
    <col min="6668" max="6669" width="8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20" width="7.625" style="568" bestFit="1" customWidth="1"/>
    <col min="6921" max="6921" width="5" style="568" bestFit="1" customWidth="1"/>
    <col min="6922" max="6922" width="8.375" style="568" bestFit="1" customWidth="1"/>
    <col min="6923" max="6923" width="18.75" style="568" bestFit="1" customWidth="1"/>
    <col min="6924" max="6925" width="8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6" width="7.625" style="568" bestFit="1" customWidth="1"/>
    <col min="7177" max="7177" width="5" style="568" bestFit="1" customWidth="1"/>
    <col min="7178" max="7178" width="8.375" style="568" bestFit="1" customWidth="1"/>
    <col min="7179" max="7179" width="18.75" style="568" bestFit="1" customWidth="1"/>
    <col min="7180" max="7181" width="8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2" width="7.625" style="568" bestFit="1" customWidth="1"/>
    <col min="7433" max="7433" width="5" style="568" bestFit="1" customWidth="1"/>
    <col min="7434" max="7434" width="8.375" style="568" bestFit="1" customWidth="1"/>
    <col min="7435" max="7435" width="18.75" style="568" bestFit="1" customWidth="1"/>
    <col min="7436" max="7437" width="8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8" width="7.625" style="568" bestFit="1" customWidth="1"/>
    <col min="7689" max="7689" width="5" style="568" bestFit="1" customWidth="1"/>
    <col min="7690" max="7690" width="8.375" style="568" bestFit="1" customWidth="1"/>
    <col min="7691" max="7691" width="18.75" style="568" bestFit="1" customWidth="1"/>
    <col min="7692" max="7693" width="8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4" width="7.625" style="568" bestFit="1" customWidth="1"/>
    <col min="7945" max="7945" width="5" style="568" bestFit="1" customWidth="1"/>
    <col min="7946" max="7946" width="8.375" style="568" bestFit="1" customWidth="1"/>
    <col min="7947" max="7947" width="18.75" style="568" bestFit="1" customWidth="1"/>
    <col min="7948" max="7949" width="8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200" width="7.625" style="568" bestFit="1" customWidth="1"/>
    <col min="8201" max="8201" width="5" style="568" bestFit="1" customWidth="1"/>
    <col min="8202" max="8202" width="8.375" style="568" bestFit="1" customWidth="1"/>
    <col min="8203" max="8203" width="18.75" style="568" bestFit="1" customWidth="1"/>
    <col min="8204" max="8205" width="8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6" width="7.625" style="568" bestFit="1" customWidth="1"/>
    <col min="8457" max="8457" width="5" style="568" bestFit="1" customWidth="1"/>
    <col min="8458" max="8458" width="8.375" style="568" bestFit="1" customWidth="1"/>
    <col min="8459" max="8459" width="18.75" style="568" bestFit="1" customWidth="1"/>
    <col min="8460" max="8461" width="8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2" width="7.625" style="568" bestFit="1" customWidth="1"/>
    <col min="8713" max="8713" width="5" style="568" bestFit="1" customWidth="1"/>
    <col min="8714" max="8714" width="8.375" style="568" bestFit="1" customWidth="1"/>
    <col min="8715" max="8715" width="18.75" style="568" bestFit="1" customWidth="1"/>
    <col min="8716" max="8717" width="8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8" width="7.625" style="568" bestFit="1" customWidth="1"/>
    <col min="8969" max="8969" width="5" style="568" bestFit="1" customWidth="1"/>
    <col min="8970" max="8970" width="8.375" style="568" bestFit="1" customWidth="1"/>
    <col min="8971" max="8971" width="18.75" style="568" bestFit="1" customWidth="1"/>
    <col min="8972" max="8973" width="8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4" width="7.625" style="568" bestFit="1" customWidth="1"/>
    <col min="9225" max="9225" width="5" style="568" bestFit="1" customWidth="1"/>
    <col min="9226" max="9226" width="8.375" style="568" bestFit="1" customWidth="1"/>
    <col min="9227" max="9227" width="18.75" style="568" bestFit="1" customWidth="1"/>
    <col min="9228" max="9229" width="8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80" width="7.625" style="568" bestFit="1" customWidth="1"/>
    <col min="9481" max="9481" width="5" style="568" bestFit="1" customWidth="1"/>
    <col min="9482" max="9482" width="8.375" style="568" bestFit="1" customWidth="1"/>
    <col min="9483" max="9483" width="18.75" style="568" bestFit="1" customWidth="1"/>
    <col min="9484" max="9485" width="8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6" width="7.625" style="568" bestFit="1" customWidth="1"/>
    <col min="9737" max="9737" width="5" style="568" bestFit="1" customWidth="1"/>
    <col min="9738" max="9738" width="8.375" style="568" bestFit="1" customWidth="1"/>
    <col min="9739" max="9739" width="18.75" style="568" bestFit="1" customWidth="1"/>
    <col min="9740" max="9741" width="8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2" width="7.625" style="568" bestFit="1" customWidth="1"/>
    <col min="9993" max="9993" width="5" style="568" bestFit="1" customWidth="1"/>
    <col min="9994" max="9994" width="8.375" style="568" bestFit="1" customWidth="1"/>
    <col min="9995" max="9995" width="18.75" style="568" bestFit="1" customWidth="1"/>
    <col min="9996" max="9997" width="8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8" width="7.625" style="568" bestFit="1" customWidth="1"/>
    <col min="10249" max="10249" width="5" style="568" bestFit="1" customWidth="1"/>
    <col min="10250" max="10250" width="8.375" style="568" bestFit="1" customWidth="1"/>
    <col min="10251" max="10251" width="18.75" style="568" bestFit="1" customWidth="1"/>
    <col min="10252" max="10253" width="8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4" width="7.625" style="568" bestFit="1" customWidth="1"/>
    <col min="10505" max="10505" width="5" style="568" bestFit="1" customWidth="1"/>
    <col min="10506" max="10506" width="8.375" style="568" bestFit="1" customWidth="1"/>
    <col min="10507" max="10507" width="18.75" style="568" bestFit="1" customWidth="1"/>
    <col min="10508" max="10509" width="8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60" width="7.625" style="568" bestFit="1" customWidth="1"/>
    <col min="10761" max="10761" width="5" style="568" bestFit="1" customWidth="1"/>
    <col min="10762" max="10762" width="8.375" style="568" bestFit="1" customWidth="1"/>
    <col min="10763" max="10763" width="18.75" style="568" bestFit="1" customWidth="1"/>
    <col min="10764" max="10765" width="8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6" width="7.625" style="568" bestFit="1" customWidth="1"/>
    <col min="11017" max="11017" width="5" style="568" bestFit="1" customWidth="1"/>
    <col min="11018" max="11018" width="8.375" style="568" bestFit="1" customWidth="1"/>
    <col min="11019" max="11019" width="18.75" style="568" bestFit="1" customWidth="1"/>
    <col min="11020" max="11021" width="8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2" width="7.625" style="568" bestFit="1" customWidth="1"/>
    <col min="11273" max="11273" width="5" style="568" bestFit="1" customWidth="1"/>
    <col min="11274" max="11274" width="8.375" style="568" bestFit="1" customWidth="1"/>
    <col min="11275" max="11275" width="18.75" style="568" bestFit="1" customWidth="1"/>
    <col min="11276" max="11277" width="8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8" width="7.625" style="568" bestFit="1" customWidth="1"/>
    <col min="11529" max="11529" width="5" style="568" bestFit="1" customWidth="1"/>
    <col min="11530" max="11530" width="8.375" style="568" bestFit="1" customWidth="1"/>
    <col min="11531" max="11531" width="18.75" style="568" bestFit="1" customWidth="1"/>
    <col min="11532" max="11533" width="8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4" width="7.625" style="568" bestFit="1" customWidth="1"/>
    <col min="11785" max="11785" width="5" style="568" bestFit="1" customWidth="1"/>
    <col min="11786" max="11786" width="8.375" style="568" bestFit="1" customWidth="1"/>
    <col min="11787" max="11787" width="18.75" style="568" bestFit="1" customWidth="1"/>
    <col min="11788" max="11789" width="8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40" width="7.625" style="568" bestFit="1" customWidth="1"/>
    <col min="12041" max="12041" width="5" style="568" bestFit="1" customWidth="1"/>
    <col min="12042" max="12042" width="8.375" style="568" bestFit="1" customWidth="1"/>
    <col min="12043" max="12043" width="18.75" style="568" bestFit="1" customWidth="1"/>
    <col min="12044" max="12045" width="8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6" width="7.625" style="568" bestFit="1" customWidth="1"/>
    <col min="12297" max="12297" width="5" style="568" bestFit="1" customWidth="1"/>
    <col min="12298" max="12298" width="8.375" style="568" bestFit="1" customWidth="1"/>
    <col min="12299" max="12299" width="18.75" style="568" bestFit="1" customWidth="1"/>
    <col min="12300" max="12301" width="8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2" width="7.625" style="568" bestFit="1" customWidth="1"/>
    <col min="12553" max="12553" width="5" style="568" bestFit="1" customWidth="1"/>
    <col min="12554" max="12554" width="8.375" style="568" bestFit="1" customWidth="1"/>
    <col min="12555" max="12555" width="18.75" style="568" bestFit="1" customWidth="1"/>
    <col min="12556" max="12557" width="8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8" width="7.625" style="568" bestFit="1" customWidth="1"/>
    <col min="12809" max="12809" width="5" style="568" bestFit="1" customWidth="1"/>
    <col min="12810" max="12810" width="8.375" style="568" bestFit="1" customWidth="1"/>
    <col min="12811" max="12811" width="18.75" style="568" bestFit="1" customWidth="1"/>
    <col min="12812" max="12813" width="8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4" width="7.625" style="568" bestFit="1" customWidth="1"/>
    <col min="13065" max="13065" width="5" style="568" bestFit="1" customWidth="1"/>
    <col min="13066" max="13066" width="8.375" style="568" bestFit="1" customWidth="1"/>
    <col min="13067" max="13067" width="18.75" style="568" bestFit="1" customWidth="1"/>
    <col min="13068" max="13069" width="8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20" width="7.625" style="568" bestFit="1" customWidth="1"/>
    <col min="13321" max="13321" width="5" style="568" bestFit="1" customWidth="1"/>
    <col min="13322" max="13322" width="8.375" style="568" bestFit="1" customWidth="1"/>
    <col min="13323" max="13323" width="18.75" style="568" bestFit="1" customWidth="1"/>
    <col min="13324" max="13325" width="8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6" width="7.625" style="568" bestFit="1" customWidth="1"/>
    <col min="13577" max="13577" width="5" style="568" bestFit="1" customWidth="1"/>
    <col min="13578" max="13578" width="8.375" style="568" bestFit="1" customWidth="1"/>
    <col min="13579" max="13579" width="18.75" style="568" bestFit="1" customWidth="1"/>
    <col min="13580" max="13581" width="8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2" width="7.625" style="568" bestFit="1" customWidth="1"/>
    <col min="13833" max="13833" width="5" style="568" bestFit="1" customWidth="1"/>
    <col min="13834" max="13834" width="8.375" style="568" bestFit="1" customWidth="1"/>
    <col min="13835" max="13835" width="18.75" style="568" bestFit="1" customWidth="1"/>
    <col min="13836" max="13837" width="8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8" width="7.625" style="568" bestFit="1" customWidth="1"/>
    <col min="14089" max="14089" width="5" style="568" bestFit="1" customWidth="1"/>
    <col min="14090" max="14090" width="8.375" style="568" bestFit="1" customWidth="1"/>
    <col min="14091" max="14091" width="18.75" style="568" bestFit="1" customWidth="1"/>
    <col min="14092" max="14093" width="8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4" width="7.625" style="568" bestFit="1" customWidth="1"/>
    <col min="14345" max="14345" width="5" style="568" bestFit="1" customWidth="1"/>
    <col min="14346" max="14346" width="8.375" style="568" bestFit="1" customWidth="1"/>
    <col min="14347" max="14347" width="18.75" style="568" bestFit="1" customWidth="1"/>
    <col min="14348" max="14349" width="8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600" width="7.625" style="568" bestFit="1" customWidth="1"/>
    <col min="14601" max="14601" width="5" style="568" bestFit="1" customWidth="1"/>
    <col min="14602" max="14602" width="8.375" style="568" bestFit="1" customWidth="1"/>
    <col min="14603" max="14603" width="18.75" style="568" bestFit="1" customWidth="1"/>
    <col min="14604" max="14605" width="8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6" width="7.625" style="568" bestFit="1" customWidth="1"/>
    <col min="14857" max="14857" width="5" style="568" bestFit="1" customWidth="1"/>
    <col min="14858" max="14858" width="8.375" style="568" bestFit="1" customWidth="1"/>
    <col min="14859" max="14859" width="18.75" style="568" bestFit="1" customWidth="1"/>
    <col min="14860" max="14861" width="8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2" width="7.625" style="568" bestFit="1" customWidth="1"/>
    <col min="15113" max="15113" width="5" style="568" bestFit="1" customWidth="1"/>
    <col min="15114" max="15114" width="8.375" style="568" bestFit="1" customWidth="1"/>
    <col min="15115" max="15115" width="18.75" style="568" bestFit="1" customWidth="1"/>
    <col min="15116" max="15117" width="8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8" width="7.625" style="568" bestFit="1" customWidth="1"/>
    <col min="15369" max="15369" width="5" style="568" bestFit="1" customWidth="1"/>
    <col min="15370" max="15370" width="8.375" style="568" bestFit="1" customWidth="1"/>
    <col min="15371" max="15371" width="18.75" style="568" bestFit="1" customWidth="1"/>
    <col min="15372" max="15373" width="8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4" width="7.625" style="568" bestFit="1" customWidth="1"/>
    <col min="15625" max="15625" width="5" style="568" bestFit="1" customWidth="1"/>
    <col min="15626" max="15626" width="8.375" style="568" bestFit="1" customWidth="1"/>
    <col min="15627" max="15627" width="18.75" style="568" bestFit="1" customWidth="1"/>
    <col min="15628" max="15629" width="8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80" width="7.625" style="568" bestFit="1" customWidth="1"/>
    <col min="15881" max="15881" width="5" style="568" bestFit="1" customWidth="1"/>
    <col min="15882" max="15882" width="8.375" style="568" bestFit="1" customWidth="1"/>
    <col min="15883" max="15883" width="18.75" style="568" bestFit="1" customWidth="1"/>
    <col min="15884" max="15885" width="8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6" width="7.625" style="568" bestFit="1" customWidth="1"/>
    <col min="16137" max="16137" width="5" style="568" bestFit="1" customWidth="1"/>
    <col min="16138" max="16138" width="8.375" style="568" bestFit="1" customWidth="1"/>
    <col min="16139" max="16139" width="18.75" style="568" bestFit="1" customWidth="1"/>
    <col min="16140" max="16141" width="8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903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401</v>
      </c>
      <c r="J9" s="567" t="s">
        <v>327</v>
      </c>
      <c r="K9" s="567" t="s">
        <v>1002</v>
      </c>
      <c r="L9" s="567" t="s">
        <v>1003</v>
      </c>
      <c r="M9" s="567" t="s">
        <v>1004</v>
      </c>
      <c r="N9" s="567" t="s">
        <v>1011</v>
      </c>
      <c r="O9" s="567" t="s">
        <v>1012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0.17167824074074076</v>
      </c>
      <c r="E10" s="567">
        <v>118664</v>
      </c>
      <c r="F10" s="567" t="s">
        <v>1001</v>
      </c>
      <c r="G10" s="567" t="s">
        <v>326</v>
      </c>
      <c r="H10" s="567">
        <v>0</v>
      </c>
      <c r="I10" s="567">
        <v>401</v>
      </c>
      <c r="J10" s="567" t="s">
        <v>327</v>
      </c>
      <c r="K10" s="567" t="s">
        <v>1002</v>
      </c>
      <c r="L10" s="567" t="s">
        <v>1003</v>
      </c>
      <c r="M10" s="567" t="s">
        <v>1004</v>
      </c>
      <c r="N10" s="567" t="s">
        <v>1011</v>
      </c>
      <c r="O10" s="567" t="s">
        <v>1012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0.18263888888888891</v>
      </c>
      <c r="E11" s="567">
        <v>7576</v>
      </c>
      <c r="F11" s="567" t="s">
        <v>335</v>
      </c>
      <c r="G11" s="567">
        <v>0</v>
      </c>
      <c r="H11" s="567" t="s">
        <v>326</v>
      </c>
      <c r="I11" s="567" t="s">
        <v>336</v>
      </c>
      <c r="J11" s="567">
        <v>0</v>
      </c>
      <c r="K11" s="567" t="s">
        <v>337</v>
      </c>
      <c r="L11" s="567">
        <v>45</v>
      </c>
      <c r="M11" s="567">
        <v>1</v>
      </c>
    </row>
    <row r="12" spans="1:18" ht="15" x14ac:dyDescent="0.2">
      <c r="A12" s="567"/>
      <c r="B12" s="567"/>
      <c r="C12" s="567"/>
      <c r="D12" s="569">
        <v>0.18611111111111112</v>
      </c>
      <c r="E12" s="567">
        <v>0</v>
      </c>
      <c r="F12" s="567" t="s">
        <v>1001</v>
      </c>
      <c r="G12" s="567" t="s">
        <v>326</v>
      </c>
      <c r="H12" s="567">
        <v>0</v>
      </c>
      <c r="I12" s="567">
        <v>97</v>
      </c>
      <c r="J12" s="567" t="s">
        <v>327</v>
      </c>
      <c r="K12" s="567" t="s">
        <v>1002</v>
      </c>
      <c r="L12" s="567" t="s">
        <v>1003</v>
      </c>
      <c r="M12" s="567" t="s">
        <v>1004</v>
      </c>
      <c r="N12" s="567" t="s">
        <v>1011</v>
      </c>
      <c r="O12" s="567" t="s">
        <v>1012</v>
      </c>
      <c r="P12" s="567" t="s">
        <v>1007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0.29969907407407409</v>
      </c>
      <c r="E13" s="567">
        <v>78512</v>
      </c>
      <c r="F13" s="567" t="s">
        <v>1001</v>
      </c>
      <c r="G13" s="567" t="s">
        <v>326</v>
      </c>
      <c r="H13" s="567">
        <v>0</v>
      </c>
      <c r="I13" s="567">
        <v>97</v>
      </c>
      <c r="J13" s="567" t="s">
        <v>327</v>
      </c>
      <c r="K13" s="567" t="s">
        <v>1002</v>
      </c>
      <c r="L13" s="567" t="s">
        <v>1003</v>
      </c>
      <c r="M13" s="567" t="s">
        <v>1004</v>
      </c>
      <c r="N13" s="567" t="s">
        <v>1011</v>
      </c>
      <c r="O13" s="567" t="s">
        <v>1012</v>
      </c>
      <c r="P13" s="567" t="s">
        <v>1009</v>
      </c>
      <c r="Q13" s="567" t="s">
        <v>1008</v>
      </c>
      <c r="R13" s="567">
        <v>80</v>
      </c>
    </row>
    <row r="14" spans="1:18" ht="15" x14ac:dyDescent="0.2">
      <c r="A14" s="567"/>
      <c r="B14" s="567"/>
      <c r="C14" s="567"/>
      <c r="D14" s="569">
        <v>0.30694444444444441</v>
      </c>
      <c r="E14" s="567">
        <v>5008</v>
      </c>
      <c r="F14" s="567" t="s">
        <v>1001</v>
      </c>
      <c r="G14" s="567" t="s">
        <v>326</v>
      </c>
      <c r="H14" s="567">
        <v>0</v>
      </c>
      <c r="I14" s="567">
        <v>39</v>
      </c>
      <c r="J14" s="567" t="s">
        <v>327</v>
      </c>
      <c r="K14" s="567" t="s">
        <v>1002</v>
      </c>
      <c r="L14" s="567" t="s">
        <v>1003</v>
      </c>
      <c r="M14" s="567" t="s">
        <v>1004</v>
      </c>
      <c r="N14" s="567" t="s">
        <v>1005</v>
      </c>
      <c r="O14" s="567" t="s">
        <v>1006</v>
      </c>
      <c r="P14" s="567" t="s">
        <v>1007</v>
      </c>
      <c r="Q14" s="567" t="s">
        <v>1008</v>
      </c>
      <c r="R14" s="567">
        <v>80</v>
      </c>
    </row>
    <row r="15" spans="1:18" ht="15" x14ac:dyDescent="0.2">
      <c r="A15" s="567"/>
      <c r="B15" s="567"/>
      <c r="C15" s="567"/>
      <c r="D15" s="569">
        <v>0.33109953703703704</v>
      </c>
      <c r="E15" s="567">
        <v>16696</v>
      </c>
      <c r="F15" s="567" t="s">
        <v>1001</v>
      </c>
      <c r="G15" s="567" t="s">
        <v>326</v>
      </c>
      <c r="H15" s="567">
        <v>0</v>
      </c>
      <c r="I15" s="567">
        <v>39</v>
      </c>
      <c r="J15" s="567" t="s">
        <v>327</v>
      </c>
      <c r="K15" s="567" t="s">
        <v>1002</v>
      </c>
      <c r="L15" s="567" t="s">
        <v>1003</v>
      </c>
      <c r="M15" s="567" t="s">
        <v>1004</v>
      </c>
      <c r="N15" s="567" t="s">
        <v>1005</v>
      </c>
      <c r="O15" s="567" t="s">
        <v>1006</v>
      </c>
      <c r="P15" s="567" t="s">
        <v>1009</v>
      </c>
      <c r="Q15" s="567" t="s">
        <v>1008</v>
      </c>
      <c r="R15" s="567">
        <v>80</v>
      </c>
    </row>
    <row r="16" spans="1:18" ht="15" x14ac:dyDescent="0.2">
      <c r="A16" s="567"/>
      <c r="B16" s="567"/>
      <c r="C16" s="567"/>
      <c r="D16" s="569">
        <v>0.33109953703703704</v>
      </c>
      <c r="E16" s="567">
        <v>0</v>
      </c>
      <c r="F16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6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8" width="7.625" style="568" bestFit="1" customWidth="1"/>
    <col min="9" max="9" width="5" style="568" bestFit="1" customWidth="1"/>
    <col min="10" max="10" width="8.375" style="568" bestFit="1" customWidth="1"/>
    <col min="11" max="11" width="18.75" style="568" bestFit="1" customWidth="1"/>
    <col min="12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4" width="7.625" style="568" bestFit="1" customWidth="1"/>
    <col min="265" max="265" width="5" style="568" bestFit="1" customWidth="1"/>
    <col min="266" max="266" width="8.375" style="568" bestFit="1" customWidth="1"/>
    <col min="267" max="267" width="18.75" style="568" bestFit="1" customWidth="1"/>
    <col min="268" max="269" width="8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20" width="7.625" style="568" bestFit="1" customWidth="1"/>
    <col min="521" max="521" width="5" style="568" bestFit="1" customWidth="1"/>
    <col min="522" max="522" width="8.375" style="568" bestFit="1" customWidth="1"/>
    <col min="523" max="523" width="18.75" style="568" bestFit="1" customWidth="1"/>
    <col min="524" max="525" width="8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6" width="7.625" style="568" bestFit="1" customWidth="1"/>
    <col min="777" max="777" width="5" style="568" bestFit="1" customWidth="1"/>
    <col min="778" max="778" width="8.375" style="568" bestFit="1" customWidth="1"/>
    <col min="779" max="779" width="18.75" style="568" bestFit="1" customWidth="1"/>
    <col min="780" max="781" width="8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2" width="7.625" style="568" bestFit="1" customWidth="1"/>
    <col min="1033" max="1033" width="5" style="568" bestFit="1" customWidth="1"/>
    <col min="1034" max="1034" width="8.375" style="568" bestFit="1" customWidth="1"/>
    <col min="1035" max="1035" width="18.75" style="568" bestFit="1" customWidth="1"/>
    <col min="1036" max="1037" width="8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8" width="7.625" style="568" bestFit="1" customWidth="1"/>
    <col min="1289" max="1289" width="5" style="568" bestFit="1" customWidth="1"/>
    <col min="1290" max="1290" width="8.375" style="568" bestFit="1" customWidth="1"/>
    <col min="1291" max="1291" width="18.75" style="568" bestFit="1" customWidth="1"/>
    <col min="1292" max="1293" width="8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4" width="7.625" style="568" bestFit="1" customWidth="1"/>
    <col min="1545" max="1545" width="5" style="568" bestFit="1" customWidth="1"/>
    <col min="1546" max="1546" width="8.375" style="568" bestFit="1" customWidth="1"/>
    <col min="1547" max="1547" width="18.75" style="568" bestFit="1" customWidth="1"/>
    <col min="1548" max="1549" width="8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800" width="7.625" style="568" bestFit="1" customWidth="1"/>
    <col min="1801" max="1801" width="5" style="568" bestFit="1" customWidth="1"/>
    <col min="1802" max="1802" width="8.375" style="568" bestFit="1" customWidth="1"/>
    <col min="1803" max="1803" width="18.75" style="568" bestFit="1" customWidth="1"/>
    <col min="1804" max="1805" width="8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6" width="7.625" style="568" bestFit="1" customWidth="1"/>
    <col min="2057" max="2057" width="5" style="568" bestFit="1" customWidth="1"/>
    <col min="2058" max="2058" width="8.375" style="568" bestFit="1" customWidth="1"/>
    <col min="2059" max="2059" width="18.75" style="568" bestFit="1" customWidth="1"/>
    <col min="2060" max="2061" width="8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2" width="7.625" style="568" bestFit="1" customWidth="1"/>
    <col min="2313" max="2313" width="5" style="568" bestFit="1" customWidth="1"/>
    <col min="2314" max="2314" width="8.375" style="568" bestFit="1" customWidth="1"/>
    <col min="2315" max="2315" width="18.75" style="568" bestFit="1" customWidth="1"/>
    <col min="2316" max="2317" width="8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8" width="7.625" style="568" bestFit="1" customWidth="1"/>
    <col min="2569" max="2569" width="5" style="568" bestFit="1" customWidth="1"/>
    <col min="2570" max="2570" width="8.375" style="568" bestFit="1" customWidth="1"/>
    <col min="2571" max="2571" width="18.75" style="568" bestFit="1" customWidth="1"/>
    <col min="2572" max="2573" width="8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4" width="7.625" style="568" bestFit="1" customWidth="1"/>
    <col min="2825" max="2825" width="5" style="568" bestFit="1" customWidth="1"/>
    <col min="2826" max="2826" width="8.375" style="568" bestFit="1" customWidth="1"/>
    <col min="2827" max="2827" width="18.75" style="568" bestFit="1" customWidth="1"/>
    <col min="2828" max="2829" width="8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80" width="7.625" style="568" bestFit="1" customWidth="1"/>
    <col min="3081" max="3081" width="5" style="568" bestFit="1" customWidth="1"/>
    <col min="3082" max="3082" width="8.375" style="568" bestFit="1" customWidth="1"/>
    <col min="3083" max="3083" width="18.75" style="568" bestFit="1" customWidth="1"/>
    <col min="3084" max="3085" width="8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6" width="7.625" style="568" bestFit="1" customWidth="1"/>
    <col min="3337" max="3337" width="5" style="568" bestFit="1" customWidth="1"/>
    <col min="3338" max="3338" width="8.375" style="568" bestFit="1" customWidth="1"/>
    <col min="3339" max="3339" width="18.75" style="568" bestFit="1" customWidth="1"/>
    <col min="3340" max="3341" width="8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2" width="7.625" style="568" bestFit="1" customWidth="1"/>
    <col min="3593" max="3593" width="5" style="568" bestFit="1" customWidth="1"/>
    <col min="3594" max="3594" width="8.375" style="568" bestFit="1" customWidth="1"/>
    <col min="3595" max="3595" width="18.75" style="568" bestFit="1" customWidth="1"/>
    <col min="3596" max="3597" width="8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8" width="7.625" style="568" bestFit="1" customWidth="1"/>
    <col min="3849" max="3849" width="5" style="568" bestFit="1" customWidth="1"/>
    <col min="3850" max="3850" width="8.375" style="568" bestFit="1" customWidth="1"/>
    <col min="3851" max="3851" width="18.75" style="568" bestFit="1" customWidth="1"/>
    <col min="3852" max="3853" width="8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4" width="7.625" style="568" bestFit="1" customWidth="1"/>
    <col min="4105" max="4105" width="5" style="568" bestFit="1" customWidth="1"/>
    <col min="4106" max="4106" width="8.375" style="568" bestFit="1" customWidth="1"/>
    <col min="4107" max="4107" width="18.75" style="568" bestFit="1" customWidth="1"/>
    <col min="4108" max="4109" width="8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60" width="7.625" style="568" bestFit="1" customWidth="1"/>
    <col min="4361" max="4361" width="5" style="568" bestFit="1" customWidth="1"/>
    <col min="4362" max="4362" width="8.375" style="568" bestFit="1" customWidth="1"/>
    <col min="4363" max="4363" width="18.75" style="568" bestFit="1" customWidth="1"/>
    <col min="4364" max="4365" width="8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6" width="7.625" style="568" bestFit="1" customWidth="1"/>
    <col min="4617" max="4617" width="5" style="568" bestFit="1" customWidth="1"/>
    <col min="4618" max="4618" width="8.375" style="568" bestFit="1" customWidth="1"/>
    <col min="4619" max="4619" width="18.75" style="568" bestFit="1" customWidth="1"/>
    <col min="4620" max="4621" width="8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2" width="7.625" style="568" bestFit="1" customWidth="1"/>
    <col min="4873" max="4873" width="5" style="568" bestFit="1" customWidth="1"/>
    <col min="4874" max="4874" width="8.375" style="568" bestFit="1" customWidth="1"/>
    <col min="4875" max="4875" width="18.75" style="568" bestFit="1" customWidth="1"/>
    <col min="4876" max="4877" width="8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8" width="7.625" style="568" bestFit="1" customWidth="1"/>
    <col min="5129" max="5129" width="5" style="568" bestFit="1" customWidth="1"/>
    <col min="5130" max="5130" width="8.375" style="568" bestFit="1" customWidth="1"/>
    <col min="5131" max="5131" width="18.75" style="568" bestFit="1" customWidth="1"/>
    <col min="5132" max="5133" width="8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4" width="7.625" style="568" bestFit="1" customWidth="1"/>
    <col min="5385" max="5385" width="5" style="568" bestFit="1" customWidth="1"/>
    <col min="5386" max="5386" width="8.375" style="568" bestFit="1" customWidth="1"/>
    <col min="5387" max="5387" width="18.75" style="568" bestFit="1" customWidth="1"/>
    <col min="5388" max="5389" width="8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40" width="7.625" style="568" bestFit="1" customWidth="1"/>
    <col min="5641" max="5641" width="5" style="568" bestFit="1" customWidth="1"/>
    <col min="5642" max="5642" width="8.375" style="568" bestFit="1" customWidth="1"/>
    <col min="5643" max="5643" width="18.75" style="568" bestFit="1" customWidth="1"/>
    <col min="5644" max="5645" width="8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6" width="7.625" style="568" bestFit="1" customWidth="1"/>
    <col min="5897" max="5897" width="5" style="568" bestFit="1" customWidth="1"/>
    <col min="5898" max="5898" width="8.375" style="568" bestFit="1" customWidth="1"/>
    <col min="5899" max="5899" width="18.75" style="568" bestFit="1" customWidth="1"/>
    <col min="5900" max="5901" width="8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2" width="7.625" style="568" bestFit="1" customWidth="1"/>
    <col min="6153" max="6153" width="5" style="568" bestFit="1" customWidth="1"/>
    <col min="6154" max="6154" width="8.375" style="568" bestFit="1" customWidth="1"/>
    <col min="6155" max="6155" width="18.75" style="568" bestFit="1" customWidth="1"/>
    <col min="6156" max="6157" width="8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8" width="7.625" style="568" bestFit="1" customWidth="1"/>
    <col min="6409" max="6409" width="5" style="568" bestFit="1" customWidth="1"/>
    <col min="6410" max="6410" width="8.375" style="568" bestFit="1" customWidth="1"/>
    <col min="6411" max="6411" width="18.75" style="568" bestFit="1" customWidth="1"/>
    <col min="6412" max="6413" width="8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4" width="7.625" style="568" bestFit="1" customWidth="1"/>
    <col min="6665" max="6665" width="5" style="568" bestFit="1" customWidth="1"/>
    <col min="6666" max="6666" width="8.375" style="568" bestFit="1" customWidth="1"/>
    <col min="6667" max="6667" width="18.75" style="568" bestFit="1" customWidth="1"/>
    <col min="6668" max="6669" width="8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20" width="7.625" style="568" bestFit="1" customWidth="1"/>
    <col min="6921" max="6921" width="5" style="568" bestFit="1" customWidth="1"/>
    <col min="6922" max="6922" width="8.375" style="568" bestFit="1" customWidth="1"/>
    <col min="6923" max="6923" width="18.75" style="568" bestFit="1" customWidth="1"/>
    <col min="6924" max="6925" width="8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6" width="7.625" style="568" bestFit="1" customWidth="1"/>
    <col min="7177" max="7177" width="5" style="568" bestFit="1" customWidth="1"/>
    <col min="7178" max="7178" width="8.375" style="568" bestFit="1" customWidth="1"/>
    <col min="7179" max="7179" width="18.75" style="568" bestFit="1" customWidth="1"/>
    <col min="7180" max="7181" width="8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2" width="7.625" style="568" bestFit="1" customWidth="1"/>
    <col min="7433" max="7433" width="5" style="568" bestFit="1" customWidth="1"/>
    <col min="7434" max="7434" width="8.375" style="568" bestFit="1" customWidth="1"/>
    <col min="7435" max="7435" width="18.75" style="568" bestFit="1" customWidth="1"/>
    <col min="7436" max="7437" width="8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8" width="7.625" style="568" bestFit="1" customWidth="1"/>
    <col min="7689" max="7689" width="5" style="568" bestFit="1" customWidth="1"/>
    <col min="7690" max="7690" width="8.375" style="568" bestFit="1" customWidth="1"/>
    <col min="7691" max="7691" width="18.75" style="568" bestFit="1" customWidth="1"/>
    <col min="7692" max="7693" width="8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4" width="7.625" style="568" bestFit="1" customWidth="1"/>
    <col min="7945" max="7945" width="5" style="568" bestFit="1" customWidth="1"/>
    <col min="7946" max="7946" width="8.375" style="568" bestFit="1" customWidth="1"/>
    <col min="7947" max="7947" width="18.75" style="568" bestFit="1" customWidth="1"/>
    <col min="7948" max="7949" width="8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200" width="7.625" style="568" bestFit="1" customWidth="1"/>
    <col min="8201" max="8201" width="5" style="568" bestFit="1" customWidth="1"/>
    <col min="8202" max="8202" width="8.375" style="568" bestFit="1" customWidth="1"/>
    <col min="8203" max="8203" width="18.75" style="568" bestFit="1" customWidth="1"/>
    <col min="8204" max="8205" width="8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6" width="7.625" style="568" bestFit="1" customWidth="1"/>
    <col min="8457" max="8457" width="5" style="568" bestFit="1" customWidth="1"/>
    <col min="8458" max="8458" width="8.375" style="568" bestFit="1" customWidth="1"/>
    <col min="8459" max="8459" width="18.75" style="568" bestFit="1" customWidth="1"/>
    <col min="8460" max="8461" width="8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2" width="7.625" style="568" bestFit="1" customWidth="1"/>
    <col min="8713" max="8713" width="5" style="568" bestFit="1" customWidth="1"/>
    <col min="8714" max="8714" width="8.375" style="568" bestFit="1" customWidth="1"/>
    <col min="8715" max="8715" width="18.75" style="568" bestFit="1" customWidth="1"/>
    <col min="8716" max="8717" width="8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8" width="7.625" style="568" bestFit="1" customWidth="1"/>
    <col min="8969" max="8969" width="5" style="568" bestFit="1" customWidth="1"/>
    <col min="8970" max="8970" width="8.375" style="568" bestFit="1" customWidth="1"/>
    <col min="8971" max="8971" width="18.75" style="568" bestFit="1" customWidth="1"/>
    <col min="8972" max="8973" width="8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4" width="7.625" style="568" bestFit="1" customWidth="1"/>
    <col min="9225" max="9225" width="5" style="568" bestFit="1" customWidth="1"/>
    <col min="9226" max="9226" width="8.375" style="568" bestFit="1" customWidth="1"/>
    <col min="9227" max="9227" width="18.75" style="568" bestFit="1" customWidth="1"/>
    <col min="9228" max="9229" width="8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80" width="7.625" style="568" bestFit="1" customWidth="1"/>
    <col min="9481" max="9481" width="5" style="568" bestFit="1" customWidth="1"/>
    <col min="9482" max="9482" width="8.375" style="568" bestFit="1" customWidth="1"/>
    <col min="9483" max="9483" width="18.75" style="568" bestFit="1" customWidth="1"/>
    <col min="9484" max="9485" width="8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6" width="7.625" style="568" bestFit="1" customWidth="1"/>
    <col min="9737" max="9737" width="5" style="568" bestFit="1" customWidth="1"/>
    <col min="9738" max="9738" width="8.375" style="568" bestFit="1" customWidth="1"/>
    <col min="9739" max="9739" width="18.75" style="568" bestFit="1" customWidth="1"/>
    <col min="9740" max="9741" width="8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2" width="7.625" style="568" bestFit="1" customWidth="1"/>
    <col min="9993" max="9993" width="5" style="568" bestFit="1" customWidth="1"/>
    <col min="9994" max="9994" width="8.375" style="568" bestFit="1" customWidth="1"/>
    <col min="9995" max="9995" width="18.75" style="568" bestFit="1" customWidth="1"/>
    <col min="9996" max="9997" width="8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8" width="7.625" style="568" bestFit="1" customWidth="1"/>
    <col min="10249" max="10249" width="5" style="568" bestFit="1" customWidth="1"/>
    <col min="10250" max="10250" width="8.375" style="568" bestFit="1" customWidth="1"/>
    <col min="10251" max="10251" width="18.75" style="568" bestFit="1" customWidth="1"/>
    <col min="10252" max="10253" width="8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4" width="7.625" style="568" bestFit="1" customWidth="1"/>
    <col min="10505" max="10505" width="5" style="568" bestFit="1" customWidth="1"/>
    <col min="10506" max="10506" width="8.375" style="568" bestFit="1" customWidth="1"/>
    <col min="10507" max="10507" width="18.75" style="568" bestFit="1" customWidth="1"/>
    <col min="10508" max="10509" width="8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60" width="7.625" style="568" bestFit="1" customWidth="1"/>
    <col min="10761" max="10761" width="5" style="568" bestFit="1" customWidth="1"/>
    <col min="10762" max="10762" width="8.375" style="568" bestFit="1" customWidth="1"/>
    <col min="10763" max="10763" width="18.75" style="568" bestFit="1" customWidth="1"/>
    <col min="10764" max="10765" width="8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6" width="7.625" style="568" bestFit="1" customWidth="1"/>
    <col min="11017" max="11017" width="5" style="568" bestFit="1" customWidth="1"/>
    <col min="11018" max="11018" width="8.375" style="568" bestFit="1" customWidth="1"/>
    <col min="11019" max="11019" width="18.75" style="568" bestFit="1" customWidth="1"/>
    <col min="11020" max="11021" width="8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2" width="7.625" style="568" bestFit="1" customWidth="1"/>
    <col min="11273" max="11273" width="5" style="568" bestFit="1" customWidth="1"/>
    <col min="11274" max="11274" width="8.375" style="568" bestFit="1" customWidth="1"/>
    <col min="11275" max="11275" width="18.75" style="568" bestFit="1" customWidth="1"/>
    <col min="11276" max="11277" width="8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8" width="7.625" style="568" bestFit="1" customWidth="1"/>
    <col min="11529" max="11529" width="5" style="568" bestFit="1" customWidth="1"/>
    <col min="11530" max="11530" width="8.375" style="568" bestFit="1" customWidth="1"/>
    <col min="11531" max="11531" width="18.75" style="568" bestFit="1" customWidth="1"/>
    <col min="11532" max="11533" width="8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4" width="7.625" style="568" bestFit="1" customWidth="1"/>
    <col min="11785" max="11785" width="5" style="568" bestFit="1" customWidth="1"/>
    <col min="11786" max="11786" width="8.375" style="568" bestFit="1" customWidth="1"/>
    <col min="11787" max="11787" width="18.75" style="568" bestFit="1" customWidth="1"/>
    <col min="11788" max="11789" width="8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40" width="7.625" style="568" bestFit="1" customWidth="1"/>
    <col min="12041" max="12041" width="5" style="568" bestFit="1" customWidth="1"/>
    <col min="12042" max="12042" width="8.375" style="568" bestFit="1" customWidth="1"/>
    <col min="12043" max="12043" width="18.75" style="568" bestFit="1" customWidth="1"/>
    <col min="12044" max="12045" width="8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6" width="7.625" style="568" bestFit="1" customWidth="1"/>
    <col min="12297" max="12297" width="5" style="568" bestFit="1" customWidth="1"/>
    <col min="12298" max="12298" width="8.375" style="568" bestFit="1" customWidth="1"/>
    <col min="12299" max="12299" width="18.75" style="568" bestFit="1" customWidth="1"/>
    <col min="12300" max="12301" width="8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2" width="7.625" style="568" bestFit="1" customWidth="1"/>
    <col min="12553" max="12553" width="5" style="568" bestFit="1" customWidth="1"/>
    <col min="12554" max="12554" width="8.375" style="568" bestFit="1" customWidth="1"/>
    <col min="12555" max="12555" width="18.75" style="568" bestFit="1" customWidth="1"/>
    <col min="12556" max="12557" width="8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8" width="7.625" style="568" bestFit="1" customWidth="1"/>
    <col min="12809" max="12809" width="5" style="568" bestFit="1" customWidth="1"/>
    <col min="12810" max="12810" width="8.375" style="568" bestFit="1" customWidth="1"/>
    <col min="12811" max="12811" width="18.75" style="568" bestFit="1" customWidth="1"/>
    <col min="12812" max="12813" width="8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4" width="7.625" style="568" bestFit="1" customWidth="1"/>
    <col min="13065" max="13065" width="5" style="568" bestFit="1" customWidth="1"/>
    <col min="13066" max="13066" width="8.375" style="568" bestFit="1" customWidth="1"/>
    <col min="13067" max="13067" width="18.75" style="568" bestFit="1" customWidth="1"/>
    <col min="13068" max="13069" width="8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20" width="7.625" style="568" bestFit="1" customWidth="1"/>
    <col min="13321" max="13321" width="5" style="568" bestFit="1" customWidth="1"/>
    <col min="13322" max="13322" width="8.375" style="568" bestFit="1" customWidth="1"/>
    <col min="13323" max="13323" width="18.75" style="568" bestFit="1" customWidth="1"/>
    <col min="13324" max="13325" width="8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6" width="7.625" style="568" bestFit="1" customWidth="1"/>
    <col min="13577" max="13577" width="5" style="568" bestFit="1" customWidth="1"/>
    <col min="13578" max="13578" width="8.375" style="568" bestFit="1" customWidth="1"/>
    <col min="13579" max="13579" width="18.75" style="568" bestFit="1" customWidth="1"/>
    <col min="13580" max="13581" width="8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2" width="7.625" style="568" bestFit="1" customWidth="1"/>
    <col min="13833" max="13833" width="5" style="568" bestFit="1" customWidth="1"/>
    <col min="13834" max="13834" width="8.375" style="568" bestFit="1" customWidth="1"/>
    <col min="13835" max="13835" width="18.75" style="568" bestFit="1" customWidth="1"/>
    <col min="13836" max="13837" width="8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8" width="7.625" style="568" bestFit="1" customWidth="1"/>
    <col min="14089" max="14089" width="5" style="568" bestFit="1" customWidth="1"/>
    <col min="14090" max="14090" width="8.375" style="568" bestFit="1" customWidth="1"/>
    <col min="14091" max="14091" width="18.75" style="568" bestFit="1" customWidth="1"/>
    <col min="14092" max="14093" width="8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4" width="7.625" style="568" bestFit="1" customWidth="1"/>
    <col min="14345" max="14345" width="5" style="568" bestFit="1" customWidth="1"/>
    <col min="14346" max="14346" width="8.375" style="568" bestFit="1" customWidth="1"/>
    <col min="14347" max="14347" width="18.75" style="568" bestFit="1" customWidth="1"/>
    <col min="14348" max="14349" width="8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600" width="7.625" style="568" bestFit="1" customWidth="1"/>
    <col min="14601" max="14601" width="5" style="568" bestFit="1" customWidth="1"/>
    <col min="14602" max="14602" width="8.375" style="568" bestFit="1" customWidth="1"/>
    <col min="14603" max="14603" width="18.75" style="568" bestFit="1" customWidth="1"/>
    <col min="14604" max="14605" width="8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6" width="7.625" style="568" bestFit="1" customWidth="1"/>
    <col min="14857" max="14857" width="5" style="568" bestFit="1" customWidth="1"/>
    <col min="14858" max="14858" width="8.375" style="568" bestFit="1" customWidth="1"/>
    <col min="14859" max="14859" width="18.75" style="568" bestFit="1" customWidth="1"/>
    <col min="14860" max="14861" width="8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2" width="7.625" style="568" bestFit="1" customWidth="1"/>
    <col min="15113" max="15113" width="5" style="568" bestFit="1" customWidth="1"/>
    <col min="15114" max="15114" width="8.375" style="568" bestFit="1" customWidth="1"/>
    <col min="15115" max="15115" width="18.75" style="568" bestFit="1" customWidth="1"/>
    <col min="15116" max="15117" width="8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8" width="7.625" style="568" bestFit="1" customWidth="1"/>
    <col min="15369" max="15369" width="5" style="568" bestFit="1" customWidth="1"/>
    <col min="15370" max="15370" width="8.375" style="568" bestFit="1" customWidth="1"/>
    <col min="15371" max="15371" width="18.75" style="568" bestFit="1" customWidth="1"/>
    <col min="15372" max="15373" width="8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4" width="7.625" style="568" bestFit="1" customWidth="1"/>
    <col min="15625" max="15625" width="5" style="568" bestFit="1" customWidth="1"/>
    <col min="15626" max="15626" width="8.375" style="568" bestFit="1" customWidth="1"/>
    <col min="15627" max="15627" width="18.75" style="568" bestFit="1" customWidth="1"/>
    <col min="15628" max="15629" width="8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80" width="7.625" style="568" bestFit="1" customWidth="1"/>
    <col min="15881" max="15881" width="5" style="568" bestFit="1" customWidth="1"/>
    <col min="15882" max="15882" width="8.375" style="568" bestFit="1" customWidth="1"/>
    <col min="15883" max="15883" width="18.75" style="568" bestFit="1" customWidth="1"/>
    <col min="15884" max="15885" width="8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6" width="7.625" style="568" bestFit="1" customWidth="1"/>
    <col min="16137" max="16137" width="5" style="568" bestFit="1" customWidth="1"/>
    <col min="16138" max="16138" width="8.375" style="568" bestFit="1" customWidth="1"/>
    <col min="16139" max="16139" width="18.75" style="568" bestFit="1" customWidth="1"/>
    <col min="16140" max="16141" width="8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905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401</v>
      </c>
      <c r="J9" s="567" t="s">
        <v>327</v>
      </c>
      <c r="K9" s="567" t="s">
        <v>1002</v>
      </c>
      <c r="L9" s="567" t="s">
        <v>1003</v>
      </c>
      <c r="M9" s="567" t="s">
        <v>1004</v>
      </c>
      <c r="N9" s="567" t="s">
        <v>1011</v>
      </c>
      <c r="O9" s="567" t="s">
        <v>1012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0.17167824074074076</v>
      </c>
      <c r="E10" s="567">
        <v>118664</v>
      </c>
      <c r="F10" s="567" t="s">
        <v>1001</v>
      </c>
      <c r="G10" s="567" t="s">
        <v>326</v>
      </c>
      <c r="H10" s="567">
        <v>0</v>
      </c>
      <c r="I10" s="567">
        <v>401</v>
      </c>
      <c r="J10" s="567" t="s">
        <v>327</v>
      </c>
      <c r="K10" s="567" t="s">
        <v>1002</v>
      </c>
      <c r="L10" s="567" t="s">
        <v>1003</v>
      </c>
      <c r="M10" s="567" t="s">
        <v>1004</v>
      </c>
      <c r="N10" s="567" t="s">
        <v>1011</v>
      </c>
      <c r="O10" s="567" t="s">
        <v>1012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0.18263888888888891</v>
      </c>
      <c r="E11" s="567">
        <v>7576</v>
      </c>
      <c r="F11" s="567" t="s">
        <v>335</v>
      </c>
      <c r="G11" s="567">
        <v>0</v>
      </c>
      <c r="H11" s="567" t="s">
        <v>326</v>
      </c>
      <c r="I11" s="567" t="s">
        <v>336</v>
      </c>
      <c r="J11" s="567">
        <v>0</v>
      </c>
      <c r="K11" s="567" t="s">
        <v>337</v>
      </c>
      <c r="L11" s="567">
        <v>45</v>
      </c>
      <c r="M11" s="567">
        <v>1</v>
      </c>
    </row>
    <row r="12" spans="1:18" ht="15" x14ac:dyDescent="0.2">
      <c r="A12" s="567"/>
      <c r="B12" s="567"/>
      <c r="C12" s="567"/>
      <c r="D12" s="569">
        <v>0.18611111111111112</v>
      </c>
      <c r="E12" s="567">
        <v>0</v>
      </c>
      <c r="F12" s="567" t="s">
        <v>1001</v>
      </c>
      <c r="G12" s="567" t="s">
        <v>326</v>
      </c>
      <c r="H12" s="567">
        <v>0</v>
      </c>
      <c r="I12" s="567">
        <v>97</v>
      </c>
      <c r="J12" s="567" t="s">
        <v>327</v>
      </c>
      <c r="K12" s="567" t="s">
        <v>1002</v>
      </c>
      <c r="L12" s="567" t="s">
        <v>1003</v>
      </c>
      <c r="M12" s="567" t="s">
        <v>1004</v>
      </c>
      <c r="N12" s="567" t="s">
        <v>1011</v>
      </c>
      <c r="O12" s="567" t="s">
        <v>1012</v>
      </c>
      <c r="P12" s="567" t="s">
        <v>1007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0.29969907407407409</v>
      </c>
      <c r="E13" s="567">
        <v>78512</v>
      </c>
      <c r="F13" s="567" t="s">
        <v>1001</v>
      </c>
      <c r="G13" s="567" t="s">
        <v>326</v>
      </c>
      <c r="H13" s="567">
        <v>0</v>
      </c>
      <c r="I13" s="567">
        <v>97</v>
      </c>
      <c r="J13" s="567" t="s">
        <v>327</v>
      </c>
      <c r="K13" s="567" t="s">
        <v>1002</v>
      </c>
      <c r="L13" s="567" t="s">
        <v>1003</v>
      </c>
      <c r="M13" s="567" t="s">
        <v>1004</v>
      </c>
      <c r="N13" s="567" t="s">
        <v>1011</v>
      </c>
      <c r="O13" s="567" t="s">
        <v>1012</v>
      </c>
      <c r="P13" s="567" t="s">
        <v>1009</v>
      </c>
      <c r="Q13" s="567" t="s">
        <v>1008</v>
      </c>
      <c r="R13" s="567">
        <v>80</v>
      </c>
    </row>
    <row r="14" spans="1:18" ht="15" x14ac:dyDescent="0.2">
      <c r="A14" s="567"/>
      <c r="B14" s="567"/>
      <c r="C14" s="567"/>
      <c r="D14" s="569">
        <v>0.30694444444444441</v>
      </c>
      <c r="E14" s="567">
        <v>5008</v>
      </c>
      <c r="F14" s="567" t="s">
        <v>1001</v>
      </c>
      <c r="G14" s="567" t="s">
        <v>326</v>
      </c>
      <c r="H14" s="567">
        <v>0</v>
      </c>
      <c r="I14" s="567">
        <v>39</v>
      </c>
      <c r="J14" s="567" t="s">
        <v>327</v>
      </c>
      <c r="K14" s="567" t="s">
        <v>1002</v>
      </c>
      <c r="L14" s="567" t="s">
        <v>1003</v>
      </c>
      <c r="M14" s="567" t="s">
        <v>1004</v>
      </c>
      <c r="N14" s="567" t="s">
        <v>1005</v>
      </c>
      <c r="O14" s="567" t="s">
        <v>1006</v>
      </c>
      <c r="P14" s="567" t="s">
        <v>1007</v>
      </c>
      <c r="Q14" s="567" t="s">
        <v>1008</v>
      </c>
      <c r="R14" s="567">
        <v>80</v>
      </c>
    </row>
    <row r="15" spans="1:18" ht="15" x14ac:dyDescent="0.2">
      <c r="A15" s="567"/>
      <c r="B15" s="567"/>
      <c r="C15" s="567"/>
      <c r="D15" s="569">
        <v>0.33109953703703704</v>
      </c>
      <c r="E15" s="567">
        <v>16696</v>
      </c>
      <c r="F15" s="567" t="s">
        <v>1001</v>
      </c>
      <c r="G15" s="567" t="s">
        <v>326</v>
      </c>
      <c r="H15" s="567">
        <v>0</v>
      </c>
      <c r="I15" s="567">
        <v>39</v>
      </c>
      <c r="J15" s="567" t="s">
        <v>327</v>
      </c>
      <c r="K15" s="567" t="s">
        <v>1002</v>
      </c>
      <c r="L15" s="567" t="s">
        <v>1003</v>
      </c>
      <c r="M15" s="567" t="s">
        <v>1004</v>
      </c>
      <c r="N15" s="567" t="s">
        <v>1005</v>
      </c>
      <c r="O15" s="567" t="s">
        <v>1006</v>
      </c>
      <c r="P15" s="567" t="s">
        <v>1009</v>
      </c>
      <c r="Q15" s="567" t="s">
        <v>1008</v>
      </c>
      <c r="R15" s="567">
        <v>80</v>
      </c>
    </row>
    <row r="16" spans="1:18" ht="15" x14ac:dyDescent="0.2">
      <c r="A16" s="567"/>
      <c r="B16" s="567"/>
      <c r="C16" s="567"/>
      <c r="D16" s="569">
        <v>0.33109953703703704</v>
      </c>
      <c r="E16" s="567">
        <v>0</v>
      </c>
      <c r="F16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7" width="7.625" style="568" bestFit="1" customWidth="1"/>
    <col min="8" max="8" width="2.25" style="568" bestFit="1" customWidth="1"/>
    <col min="9" max="9" width="4.375" style="568" bestFit="1" customWidth="1"/>
    <col min="10" max="10" width="8.375" style="568" bestFit="1" customWidth="1"/>
    <col min="11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3" width="7.625" style="568" bestFit="1" customWidth="1"/>
    <col min="264" max="264" width="2.25" style="568" bestFit="1" customWidth="1"/>
    <col min="265" max="265" width="4.375" style="568" bestFit="1" customWidth="1"/>
    <col min="266" max="266" width="8.375" style="568" bestFit="1" customWidth="1"/>
    <col min="267" max="269" width="8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19" width="7.625" style="568" bestFit="1" customWidth="1"/>
    <col min="520" max="520" width="2.25" style="568" bestFit="1" customWidth="1"/>
    <col min="521" max="521" width="4.375" style="568" bestFit="1" customWidth="1"/>
    <col min="522" max="522" width="8.375" style="568" bestFit="1" customWidth="1"/>
    <col min="523" max="525" width="8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5" width="7.625" style="568" bestFit="1" customWidth="1"/>
    <col min="776" max="776" width="2.25" style="568" bestFit="1" customWidth="1"/>
    <col min="777" max="777" width="4.375" style="568" bestFit="1" customWidth="1"/>
    <col min="778" max="778" width="8.375" style="568" bestFit="1" customWidth="1"/>
    <col min="779" max="781" width="8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1" width="7.625" style="568" bestFit="1" customWidth="1"/>
    <col min="1032" max="1032" width="2.25" style="568" bestFit="1" customWidth="1"/>
    <col min="1033" max="1033" width="4.375" style="568" bestFit="1" customWidth="1"/>
    <col min="1034" max="1034" width="8.375" style="568" bestFit="1" customWidth="1"/>
    <col min="1035" max="1037" width="8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7" width="7.625" style="568" bestFit="1" customWidth="1"/>
    <col min="1288" max="1288" width="2.25" style="568" bestFit="1" customWidth="1"/>
    <col min="1289" max="1289" width="4.375" style="568" bestFit="1" customWidth="1"/>
    <col min="1290" max="1290" width="8.375" style="568" bestFit="1" customWidth="1"/>
    <col min="1291" max="1293" width="8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3" width="7.625" style="568" bestFit="1" customWidth="1"/>
    <col min="1544" max="1544" width="2.25" style="568" bestFit="1" customWidth="1"/>
    <col min="1545" max="1545" width="4.375" style="568" bestFit="1" customWidth="1"/>
    <col min="1546" max="1546" width="8.375" style="568" bestFit="1" customWidth="1"/>
    <col min="1547" max="1549" width="8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799" width="7.625" style="568" bestFit="1" customWidth="1"/>
    <col min="1800" max="1800" width="2.25" style="568" bestFit="1" customWidth="1"/>
    <col min="1801" max="1801" width="4.375" style="568" bestFit="1" customWidth="1"/>
    <col min="1802" max="1802" width="8.375" style="568" bestFit="1" customWidth="1"/>
    <col min="1803" max="1805" width="8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5" width="7.625" style="568" bestFit="1" customWidth="1"/>
    <col min="2056" max="2056" width="2.25" style="568" bestFit="1" customWidth="1"/>
    <col min="2057" max="2057" width="4.375" style="568" bestFit="1" customWidth="1"/>
    <col min="2058" max="2058" width="8.375" style="568" bestFit="1" customWidth="1"/>
    <col min="2059" max="2061" width="8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1" width="7.625" style="568" bestFit="1" customWidth="1"/>
    <col min="2312" max="2312" width="2.25" style="568" bestFit="1" customWidth="1"/>
    <col min="2313" max="2313" width="4.375" style="568" bestFit="1" customWidth="1"/>
    <col min="2314" max="2314" width="8.375" style="568" bestFit="1" customWidth="1"/>
    <col min="2315" max="2317" width="8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7" width="7.625" style="568" bestFit="1" customWidth="1"/>
    <col min="2568" max="2568" width="2.25" style="568" bestFit="1" customWidth="1"/>
    <col min="2569" max="2569" width="4.375" style="568" bestFit="1" customWidth="1"/>
    <col min="2570" max="2570" width="8.375" style="568" bestFit="1" customWidth="1"/>
    <col min="2571" max="2573" width="8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3" width="7.625" style="568" bestFit="1" customWidth="1"/>
    <col min="2824" max="2824" width="2.25" style="568" bestFit="1" customWidth="1"/>
    <col min="2825" max="2825" width="4.375" style="568" bestFit="1" customWidth="1"/>
    <col min="2826" max="2826" width="8.375" style="568" bestFit="1" customWidth="1"/>
    <col min="2827" max="2829" width="8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79" width="7.625" style="568" bestFit="1" customWidth="1"/>
    <col min="3080" max="3080" width="2.25" style="568" bestFit="1" customWidth="1"/>
    <col min="3081" max="3081" width="4.375" style="568" bestFit="1" customWidth="1"/>
    <col min="3082" max="3082" width="8.375" style="568" bestFit="1" customWidth="1"/>
    <col min="3083" max="3085" width="8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5" width="7.625" style="568" bestFit="1" customWidth="1"/>
    <col min="3336" max="3336" width="2.25" style="568" bestFit="1" customWidth="1"/>
    <col min="3337" max="3337" width="4.375" style="568" bestFit="1" customWidth="1"/>
    <col min="3338" max="3338" width="8.375" style="568" bestFit="1" customWidth="1"/>
    <col min="3339" max="3341" width="8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1" width="7.625" style="568" bestFit="1" customWidth="1"/>
    <col min="3592" max="3592" width="2.25" style="568" bestFit="1" customWidth="1"/>
    <col min="3593" max="3593" width="4.375" style="568" bestFit="1" customWidth="1"/>
    <col min="3594" max="3594" width="8.375" style="568" bestFit="1" customWidth="1"/>
    <col min="3595" max="3597" width="8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7" width="7.625" style="568" bestFit="1" customWidth="1"/>
    <col min="3848" max="3848" width="2.25" style="568" bestFit="1" customWidth="1"/>
    <col min="3849" max="3849" width="4.375" style="568" bestFit="1" customWidth="1"/>
    <col min="3850" max="3850" width="8.375" style="568" bestFit="1" customWidth="1"/>
    <col min="3851" max="3853" width="8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3" width="7.625" style="568" bestFit="1" customWidth="1"/>
    <col min="4104" max="4104" width="2.25" style="568" bestFit="1" customWidth="1"/>
    <col min="4105" max="4105" width="4.375" style="568" bestFit="1" customWidth="1"/>
    <col min="4106" max="4106" width="8.375" style="568" bestFit="1" customWidth="1"/>
    <col min="4107" max="4109" width="8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59" width="7.625" style="568" bestFit="1" customWidth="1"/>
    <col min="4360" max="4360" width="2.25" style="568" bestFit="1" customWidth="1"/>
    <col min="4361" max="4361" width="4.375" style="568" bestFit="1" customWidth="1"/>
    <col min="4362" max="4362" width="8.375" style="568" bestFit="1" customWidth="1"/>
    <col min="4363" max="4365" width="8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5" width="7.625" style="568" bestFit="1" customWidth="1"/>
    <col min="4616" max="4616" width="2.25" style="568" bestFit="1" customWidth="1"/>
    <col min="4617" max="4617" width="4.375" style="568" bestFit="1" customWidth="1"/>
    <col min="4618" max="4618" width="8.375" style="568" bestFit="1" customWidth="1"/>
    <col min="4619" max="4621" width="8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1" width="7.625" style="568" bestFit="1" customWidth="1"/>
    <col min="4872" max="4872" width="2.25" style="568" bestFit="1" customWidth="1"/>
    <col min="4873" max="4873" width="4.375" style="568" bestFit="1" customWidth="1"/>
    <col min="4874" max="4874" width="8.375" style="568" bestFit="1" customWidth="1"/>
    <col min="4875" max="4877" width="8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7" width="7.625" style="568" bestFit="1" customWidth="1"/>
    <col min="5128" max="5128" width="2.25" style="568" bestFit="1" customWidth="1"/>
    <col min="5129" max="5129" width="4.375" style="568" bestFit="1" customWidth="1"/>
    <col min="5130" max="5130" width="8.375" style="568" bestFit="1" customWidth="1"/>
    <col min="5131" max="5133" width="8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3" width="7.625" style="568" bestFit="1" customWidth="1"/>
    <col min="5384" max="5384" width="2.25" style="568" bestFit="1" customWidth="1"/>
    <col min="5385" max="5385" width="4.375" style="568" bestFit="1" customWidth="1"/>
    <col min="5386" max="5386" width="8.375" style="568" bestFit="1" customWidth="1"/>
    <col min="5387" max="5389" width="8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39" width="7.625" style="568" bestFit="1" customWidth="1"/>
    <col min="5640" max="5640" width="2.25" style="568" bestFit="1" customWidth="1"/>
    <col min="5641" max="5641" width="4.375" style="568" bestFit="1" customWidth="1"/>
    <col min="5642" max="5642" width="8.375" style="568" bestFit="1" customWidth="1"/>
    <col min="5643" max="5645" width="8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5" width="7.625" style="568" bestFit="1" customWidth="1"/>
    <col min="5896" max="5896" width="2.25" style="568" bestFit="1" customWidth="1"/>
    <col min="5897" max="5897" width="4.375" style="568" bestFit="1" customWidth="1"/>
    <col min="5898" max="5898" width="8.375" style="568" bestFit="1" customWidth="1"/>
    <col min="5899" max="5901" width="8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1" width="7.625" style="568" bestFit="1" customWidth="1"/>
    <col min="6152" max="6152" width="2.25" style="568" bestFit="1" customWidth="1"/>
    <col min="6153" max="6153" width="4.375" style="568" bestFit="1" customWidth="1"/>
    <col min="6154" max="6154" width="8.375" style="568" bestFit="1" customWidth="1"/>
    <col min="6155" max="6157" width="8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7" width="7.625" style="568" bestFit="1" customWidth="1"/>
    <col min="6408" max="6408" width="2.25" style="568" bestFit="1" customWidth="1"/>
    <col min="6409" max="6409" width="4.375" style="568" bestFit="1" customWidth="1"/>
    <col min="6410" max="6410" width="8.375" style="568" bestFit="1" customWidth="1"/>
    <col min="6411" max="6413" width="8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3" width="7.625" style="568" bestFit="1" customWidth="1"/>
    <col min="6664" max="6664" width="2.25" style="568" bestFit="1" customWidth="1"/>
    <col min="6665" max="6665" width="4.375" style="568" bestFit="1" customWidth="1"/>
    <col min="6666" max="6666" width="8.375" style="568" bestFit="1" customWidth="1"/>
    <col min="6667" max="6669" width="8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19" width="7.625" style="568" bestFit="1" customWidth="1"/>
    <col min="6920" max="6920" width="2.25" style="568" bestFit="1" customWidth="1"/>
    <col min="6921" max="6921" width="4.375" style="568" bestFit="1" customWidth="1"/>
    <col min="6922" max="6922" width="8.375" style="568" bestFit="1" customWidth="1"/>
    <col min="6923" max="6925" width="8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5" width="7.625" style="568" bestFit="1" customWidth="1"/>
    <col min="7176" max="7176" width="2.25" style="568" bestFit="1" customWidth="1"/>
    <col min="7177" max="7177" width="4.375" style="568" bestFit="1" customWidth="1"/>
    <col min="7178" max="7178" width="8.375" style="568" bestFit="1" customWidth="1"/>
    <col min="7179" max="7181" width="8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1" width="7.625" style="568" bestFit="1" customWidth="1"/>
    <col min="7432" max="7432" width="2.25" style="568" bestFit="1" customWidth="1"/>
    <col min="7433" max="7433" width="4.375" style="568" bestFit="1" customWidth="1"/>
    <col min="7434" max="7434" width="8.375" style="568" bestFit="1" customWidth="1"/>
    <col min="7435" max="7437" width="8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7" width="7.625" style="568" bestFit="1" customWidth="1"/>
    <col min="7688" max="7688" width="2.25" style="568" bestFit="1" customWidth="1"/>
    <col min="7689" max="7689" width="4.375" style="568" bestFit="1" customWidth="1"/>
    <col min="7690" max="7690" width="8.375" style="568" bestFit="1" customWidth="1"/>
    <col min="7691" max="7693" width="8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3" width="7.625" style="568" bestFit="1" customWidth="1"/>
    <col min="7944" max="7944" width="2.25" style="568" bestFit="1" customWidth="1"/>
    <col min="7945" max="7945" width="4.375" style="568" bestFit="1" customWidth="1"/>
    <col min="7946" max="7946" width="8.375" style="568" bestFit="1" customWidth="1"/>
    <col min="7947" max="7949" width="8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199" width="7.625" style="568" bestFit="1" customWidth="1"/>
    <col min="8200" max="8200" width="2.25" style="568" bestFit="1" customWidth="1"/>
    <col min="8201" max="8201" width="4.375" style="568" bestFit="1" customWidth="1"/>
    <col min="8202" max="8202" width="8.375" style="568" bestFit="1" customWidth="1"/>
    <col min="8203" max="8205" width="8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5" width="7.625" style="568" bestFit="1" customWidth="1"/>
    <col min="8456" max="8456" width="2.25" style="568" bestFit="1" customWidth="1"/>
    <col min="8457" max="8457" width="4.375" style="568" bestFit="1" customWidth="1"/>
    <col min="8458" max="8458" width="8.375" style="568" bestFit="1" customWidth="1"/>
    <col min="8459" max="8461" width="8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1" width="7.625" style="568" bestFit="1" customWidth="1"/>
    <col min="8712" max="8712" width="2.25" style="568" bestFit="1" customWidth="1"/>
    <col min="8713" max="8713" width="4.375" style="568" bestFit="1" customWidth="1"/>
    <col min="8714" max="8714" width="8.375" style="568" bestFit="1" customWidth="1"/>
    <col min="8715" max="8717" width="8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7" width="7.625" style="568" bestFit="1" customWidth="1"/>
    <col min="8968" max="8968" width="2.25" style="568" bestFit="1" customWidth="1"/>
    <col min="8969" max="8969" width="4.375" style="568" bestFit="1" customWidth="1"/>
    <col min="8970" max="8970" width="8.375" style="568" bestFit="1" customWidth="1"/>
    <col min="8971" max="8973" width="8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3" width="7.625" style="568" bestFit="1" customWidth="1"/>
    <col min="9224" max="9224" width="2.25" style="568" bestFit="1" customWidth="1"/>
    <col min="9225" max="9225" width="4.375" style="568" bestFit="1" customWidth="1"/>
    <col min="9226" max="9226" width="8.375" style="568" bestFit="1" customWidth="1"/>
    <col min="9227" max="9229" width="8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79" width="7.625" style="568" bestFit="1" customWidth="1"/>
    <col min="9480" max="9480" width="2.25" style="568" bestFit="1" customWidth="1"/>
    <col min="9481" max="9481" width="4.375" style="568" bestFit="1" customWidth="1"/>
    <col min="9482" max="9482" width="8.375" style="568" bestFit="1" customWidth="1"/>
    <col min="9483" max="9485" width="8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5" width="7.625" style="568" bestFit="1" customWidth="1"/>
    <col min="9736" max="9736" width="2.25" style="568" bestFit="1" customWidth="1"/>
    <col min="9737" max="9737" width="4.375" style="568" bestFit="1" customWidth="1"/>
    <col min="9738" max="9738" width="8.375" style="568" bestFit="1" customWidth="1"/>
    <col min="9739" max="9741" width="8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1" width="7.625" style="568" bestFit="1" customWidth="1"/>
    <col min="9992" max="9992" width="2.25" style="568" bestFit="1" customWidth="1"/>
    <col min="9993" max="9993" width="4.375" style="568" bestFit="1" customWidth="1"/>
    <col min="9994" max="9994" width="8.375" style="568" bestFit="1" customWidth="1"/>
    <col min="9995" max="9997" width="8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7" width="7.625" style="568" bestFit="1" customWidth="1"/>
    <col min="10248" max="10248" width="2.25" style="568" bestFit="1" customWidth="1"/>
    <col min="10249" max="10249" width="4.375" style="568" bestFit="1" customWidth="1"/>
    <col min="10250" max="10250" width="8.375" style="568" bestFit="1" customWidth="1"/>
    <col min="10251" max="10253" width="8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3" width="7.625" style="568" bestFit="1" customWidth="1"/>
    <col min="10504" max="10504" width="2.25" style="568" bestFit="1" customWidth="1"/>
    <col min="10505" max="10505" width="4.375" style="568" bestFit="1" customWidth="1"/>
    <col min="10506" max="10506" width="8.375" style="568" bestFit="1" customWidth="1"/>
    <col min="10507" max="10509" width="8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59" width="7.625" style="568" bestFit="1" customWidth="1"/>
    <col min="10760" max="10760" width="2.25" style="568" bestFit="1" customWidth="1"/>
    <col min="10761" max="10761" width="4.375" style="568" bestFit="1" customWidth="1"/>
    <col min="10762" max="10762" width="8.375" style="568" bestFit="1" customWidth="1"/>
    <col min="10763" max="10765" width="8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5" width="7.625" style="568" bestFit="1" customWidth="1"/>
    <col min="11016" max="11016" width="2.25" style="568" bestFit="1" customWidth="1"/>
    <col min="11017" max="11017" width="4.375" style="568" bestFit="1" customWidth="1"/>
    <col min="11018" max="11018" width="8.375" style="568" bestFit="1" customWidth="1"/>
    <col min="11019" max="11021" width="8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1" width="7.625" style="568" bestFit="1" customWidth="1"/>
    <col min="11272" max="11272" width="2.25" style="568" bestFit="1" customWidth="1"/>
    <col min="11273" max="11273" width="4.375" style="568" bestFit="1" customWidth="1"/>
    <col min="11274" max="11274" width="8.375" style="568" bestFit="1" customWidth="1"/>
    <col min="11275" max="11277" width="8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7" width="7.625" style="568" bestFit="1" customWidth="1"/>
    <col min="11528" max="11528" width="2.25" style="568" bestFit="1" customWidth="1"/>
    <col min="11529" max="11529" width="4.375" style="568" bestFit="1" customWidth="1"/>
    <col min="11530" max="11530" width="8.375" style="568" bestFit="1" customWidth="1"/>
    <col min="11531" max="11533" width="8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3" width="7.625" style="568" bestFit="1" customWidth="1"/>
    <col min="11784" max="11784" width="2.25" style="568" bestFit="1" customWidth="1"/>
    <col min="11785" max="11785" width="4.375" style="568" bestFit="1" customWidth="1"/>
    <col min="11786" max="11786" width="8.375" style="568" bestFit="1" customWidth="1"/>
    <col min="11787" max="11789" width="8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39" width="7.625" style="568" bestFit="1" customWidth="1"/>
    <col min="12040" max="12040" width="2.25" style="568" bestFit="1" customWidth="1"/>
    <col min="12041" max="12041" width="4.375" style="568" bestFit="1" customWidth="1"/>
    <col min="12042" max="12042" width="8.375" style="568" bestFit="1" customWidth="1"/>
    <col min="12043" max="12045" width="8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5" width="7.625" style="568" bestFit="1" customWidth="1"/>
    <col min="12296" max="12296" width="2.25" style="568" bestFit="1" customWidth="1"/>
    <col min="12297" max="12297" width="4.375" style="568" bestFit="1" customWidth="1"/>
    <col min="12298" max="12298" width="8.375" style="568" bestFit="1" customWidth="1"/>
    <col min="12299" max="12301" width="8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1" width="7.625" style="568" bestFit="1" customWidth="1"/>
    <col min="12552" max="12552" width="2.25" style="568" bestFit="1" customWidth="1"/>
    <col min="12553" max="12553" width="4.375" style="568" bestFit="1" customWidth="1"/>
    <col min="12554" max="12554" width="8.375" style="568" bestFit="1" customWidth="1"/>
    <col min="12555" max="12557" width="8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7" width="7.625" style="568" bestFit="1" customWidth="1"/>
    <col min="12808" max="12808" width="2.25" style="568" bestFit="1" customWidth="1"/>
    <col min="12809" max="12809" width="4.375" style="568" bestFit="1" customWidth="1"/>
    <col min="12810" max="12810" width="8.375" style="568" bestFit="1" customWidth="1"/>
    <col min="12811" max="12813" width="8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3" width="7.625" style="568" bestFit="1" customWidth="1"/>
    <col min="13064" max="13064" width="2.25" style="568" bestFit="1" customWidth="1"/>
    <col min="13065" max="13065" width="4.375" style="568" bestFit="1" customWidth="1"/>
    <col min="13066" max="13066" width="8.375" style="568" bestFit="1" customWidth="1"/>
    <col min="13067" max="13069" width="8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19" width="7.625" style="568" bestFit="1" customWidth="1"/>
    <col min="13320" max="13320" width="2.25" style="568" bestFit="1" customWidth="1"/>
    <col min="13321" max="13321" width="4.375" style="568" bestFit="1" customWidth="1"/>
    <col min="13322" max="13322" width="8.375" style="568" bestFit="1" customWidth="1"/>
    <col min="13323" max="13325" width="8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5" width="7.625" style="568" bestFit="1" customWidth="1"/>
    <col min="13576" max="13576" width="2.25" style="568" bestFit="1" customWidth="1"/>
    <col min="13577" max="13577" width="4.375" style="568" bestFit="1" customWidth="1"/>
    <col min="13578" max="13578" width="8.375" style="568" bestFit="1" customWidth="1"/>
    <col min="13579" max="13581" width="8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1" width="7.625" style="568" bestFit="1" customWidth="1"/>
    <col min="13832" max="13832" width="2.25" style="568" bestFit="1" customWidth="1"/>
    <col min="13833" max="13833" width="4.375" style="568" bestFit="1" customWidth="1"/>
    <col min="13834" max="13834" width="8.375" style="568" bestFit="1" customWidth="1"/>
    <col min="13835" max="13837" width="8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7" width="7.625" style="568" bestFit="1" customWidth="1"/>
    <col min="14088" max="14088" width="2.25" style="568" bestFit="1" customWidth="1"/>
    <col min="14089" max="14089" width="4.375" style="568" bestFit="1" customWidth="1"/>
    <col min="14090" max="14090" width="8.375" style="568" bestFit="1" customWidth="1"/>
    <col min="14091" max="14093" width="8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3" width="7.625" style="568" bestFit="1" customWidth="1"/>
    <col min="14344" max="14344" width="2.25" style="568" bestFit="1" customWidth="1"/>
    <col min="14345" max="14345" width="4.375" style="568" bestFit="1" customWidth="1"/>
    <col min="14346" max="14346" width="8.375" style="568" bestFit="1" customWidth="1"/>
    <col min="14347" max="14349" width="8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599" width="7.625" style="568" bestFit="1" customWidth="1"/>
    <col min="14600" max="14600" width="2.25" style="568" bestFit="1" customWidth="1"/>
    <col min="14601" max="14601" width="4.375" style="568" bestFit="1" customWidth="1"/>
    <col min="14602" max="14602" width="8.375" style="568" bestFit="1" customWidth="1"/>
    <col min="14603" max="14605" width="8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5" width="7.625" style="568" bestFit="1" customWidth="1"/>
    <col min="14856" max="14856" width="2.25" style="568" bestFit="1" customWidth="1"/>
    <col min="14857" max="14857" width="4.375" style="568" bestFit="1" customWidth="1"/>
    <col min="14858" max="14858" width="8.375" style="568" bestFit="1" customWidth="1"/>
    <col min="14859" max="14861" width="8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1" width="7.625" style="568" bestFit="1" customWidth="1"/>
    <col min="15112" max="15112" width="2.25" style="568" bestFit="1" customWidth="1"/>
    <col min="15113" max="15113" width="4.375" style="568" bestFit="1" customWidth="1"/>
    <col min="15114" max="15114" width="8.375" style="568" bestFit="1" customWidth="1"/>
    <col min="15115" max="15117" width="8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7" width="7.625" style="568" bestFit="1" customWidth="1"/>
    <col min="15368" max="15368" width="2.25" style="568" bestFit="1" customWidth="1"/>
    <col min="15369" max="15369" width="4.375" style="568" bestFit="1" customWidth="1"/>
    <col min="15370" max="15370" width="8.375" style="568" bestFit="1" customWidth="1"/>
    <col min="15371" max="15373" width="8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3" width="7.625" style="568" bestFit="1" customWidth="1"/>
    <col min="15624" max="15624" width="2.25" style="568" bestFit="1" customWidth="1"/>
    <col min="15625" max="15625" width="4.375" style="568" bestFit="1" customWidth="1"/>
    <col min="15626" max="15626" width="8.375" style="568" bestFit="1" customWidth="1"/>
    <col min="15627" max="15629" width="8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79" width="7.625" style="568" bestFit="1" customWidth="1"/>
    <col min="15880" max="15880" width="2.25" style="568" bestFit="1" customWidth="1"/>
    <col min="15881" max="15881" width="4.375" style="568" bestFit="1" customWidth="1"/>
    <col min="15882" max="15882" width="8.375" style="568" bestFit="1" customWidth="1"/>
    <col min="15883" max="15885" width="8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5" width="7.625" style="568" bestFit="1" customWidth="1"/>
    <col min="16136" max="16136" width="2.25" style="568" bestFit="1" customWidth="1"/>
    <col min="16137" max="16137" width="4.375" style="568" bestFit="1" customWidth="1"/>
    <col min="16138" max="16138" width="8.375" style="568" bestFit="1" customWidth="1"/>
    <col min="16139" max="16141" width="8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906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39</v>
      </c>
      <c r="J9" s="567" t="s">
        <v>327</v>
      </c>
      <c r="K9" s="567" t="s">
        <v>1002</v>
      </c>
      <c r="L9" s="567" t="s">
        <v>1003</v>
      </c>
      <c r="M9" s="567" t="s">
        <v>1004</v>
      </c>
      <c r="N9" s="567" t="s">
        <v>1011</v>
      </c>
      <c r="O9" s="567" t="s">
        <v>1012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3.9166666666666662E-2</v>
      </c>
      <c r="E10" s="567">
        <v>27072</v>
      </c>
      <c r="F10" s="567" t="s">
        <v>1001</v>
      </c>
      <c r="G10" s="567" t="s">
        <v>326</v>
      </c>
      <c r="H10" s="567">
        <v>0</v>
      </c>
      <c r="I10" s="567">
        <v>39</v>
      </c>
      <c r="J10" s="567" t="s">
        <v>327</v>
      </c>
      <c r="K10" s="567" t="s">
        <v>1002</v>
      </c>
      <c r="L10" s="567" t="s">
        <v>1003</v>
      </c>
      <c r="M10" s="567" t="s">
        <v>1004</v>
      </c>
      <c r="N10" s="567" t="s">
        <v>1011</v>
      </c>
      <c r="O10" s="567" t="s">
        <v>1012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4.1666666666666664E-2</v>
      </c>
      <c r="E11" s="567">
        <v>1728</v>
      </c>
      <c r="F11" s="567" t="s">
        <v>1001</v>
      </c>
      <c r="G11" s="567" t="s">
        <v>326</v>
      </c>
      <c r="H11" s="567">
        <v>0</v>
      </c>
      <c r="I11" s="567">
        <v>97</v>
      </c>
      <c r="J11" s="567" t="s">
        <v>1010</v>
      </c>
      <c r="K11" s="567" t="s">
        <v>1002</v>
      </c>
      <c r="L11" s="567" t="s">
        <v>1003</v>
      </c>
      <c r="M11" s="567" t="s">
        <v>1004</v>
      </c>
      <c r="N11" s="567" t="s">
        <v>1005</v>
      </c>
      <c r="O11" s="567" t="s">
        <v>1006</v>
      </c>
      <c r="P11" s="567" t="s">
        <v>1007</v>
      </c>
      <c r="Q11" s="567" t="s">
        <v>1008</v>
      </c>
      <c r="R11" s="567">
        <v>80</v>
      </c>
    </row>
    <row r="12" spans="1:18" ht="15" x14ac:dyDescent="0.2">
      <c r="A12" s="567"/>
      <c r="B12" s="567"/>
      <c r="C12" s="567"/>
      <c r="D12" s="569">
        <v>0.15263888888888888</v>
      </c>
      <c r="E12" s="567">
        <v>76704</v>
      </c>
      <c r="F12" s="567" t="s">
        <v>1001</v>
      </c>
      <c r="G12" s="567" t="s">
        <v>326</v>
      </c>
      <c r="H12" s="567">
        <v>0</v>
      </c>
      <c r="I12" s="567">
        <v>97</v>
      </c>
      <c r="J12" s="567" t="s">
        <v>1010</v>
      </c>
      <c r="K12" s="567" t="s">
        <v>1002</v>
      </c>
      <c r="L12" s="567" t="s">
        <v>1003</v>
      </c>
      <c r="M12" s="567" t="s">
        <v>1004</v>
      </c>
      <c r="N12" s="567" t="s">
        <v>1005</v>
      </c>
      <c r="O12" s="567" t="s">
        <v>1006</v>
      </c>
      <c r="P12" s="567" t="s">
        <v>1009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0.15972222222222224</v>
      </c>
      <c r="E13" s="567">
        <v>4896</v>
      </c>
      <c r="F13" s="567" t="s">
        <v>1001</v>
      </c>
      <c r="G13" s="567" t="s">
        <v>326</v>
      </c>
      <c r="H13" s="567">
        <v>0</v>
      </c>
      <c r="I13" s="567">
        <v>401</v>
      </c>
      <c r="J13" s="567" t="s">
        <v>1010</v>
      </c>
      <c r="K13" s="567" t="s">
        <v>1002</v>
      </c>
      <c r="L13" s="567" t="s">
        <v>1003</v>
      </c>
      <c r="M13" s="567" t="s">
        <v>1004</v>
      </c>
      <c r="N13" s="567" t="s">
        <v>1005</v>
      </c>
      <c r="O13" s="567" t="s">
        <v>1006</v>
      </c>
      <c r="P13" s="567" t="s">
        <v>1007</v>
      </c>
      <c r="Q13" s="567" t="s">
        <v>1008</v>
      </c>
      <c r="R13" s="567">
        <v>80</v>
      </c>
    </row>
    <row r="14" spans="1:18" ht="15" x14ac:dyDescent="0.2">
      <c r="A14" s="567"/>
      <c r="B14" s="567"/>
      <c r="C14" s="567"/>
      <c r="D14" s="569">
        <v>0.32226851851851851</v>
      </c>
      <c r="E14" s="567">
        <v>112352</v>
      </c>
      <c r="F14" s="567" t="s">
        <v>1001</v>
      </c>
      <c r="G14" s="567" t="s">
        <v>326</v>
      </c>
      <c r="H14" s="567">
        <v>0</v>
      </c>
      <c r="I14" s="567">
        <v>401</v>
      </c>
      <c r="J14" s="567" t="s">
        <v>1010</v>
      </c>
      <c r="K14" s="567" t="s">
        <v>1002</v>
      </c>
      <c r="L14" s="567" t="s">
        <v>1003</v>
      </c>
      <c r="M14" s="567" t="s">
        <v>1004</v>
      </c>
      <c r="N14" s="567" t="s">
        <v>1005</v>
      </c>
      <c r="O14" s="567" t="s">
        <v>1006</v>
      </c>
      <c r="P14" s="567" t="s">
        <v>1009</v>
      </c>
      <c r="Q14" s="567" t="s">
        <v>1008</v>
      </c>
      <c r="R14" s="567">
        <v>80</v>
      </c>
    </row>
    <row r="15" spans="1:18" ht="15" x14ac:dyDescent="0.2">
      <c r="A15" s="567"/>
      <c r="B15" s="567"/>
      <c r="C15" s="567"/>
      <c r="D15" s="569">
        <v>0.32226851851851851</v>
      </c>
      <c r="E15" s="567">
        <v>0</v>
      </c>
      <c r="F15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7" width="7.625" style="568" bestFit="1" customWidth="1"/>
    <col min="8" max="8" width="2.25" style="568" bestFit="1" customWidth="1"/>
    <col min="9" max="9" width="4.375" style="568" bestFit="1" customWidth="1"/>
    <col min="10" max="10" width="8.375" style="568" bestFit="1" customWidth="1"/>
    <col min="11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3" width="7.625" style="568" bestFit="1" customWidth="1"/>
    <col min="264" max="264" width="2.25" style="568" bestFit="1" customWidth="1"/>
    <col min="265" max="265" width="4.375" style="568" bestFit="1" customWidth="1"/>
    <col min="266" max="266" width="8.375" style="568" bestFit="1" customWidth="1"/>
    <col min="267" max="269" width="8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19" width="7.625" style="568" bestFit="1" customWidth="1"/>
    <col min="520" max="520" width="2.25" style="568" bestFit="1" customWidth="1"/>
    <col min="521" max="521" width="4.375" style="568" bestFit="1" customWidth="1"/>
    <col min="522" max="522" width="8.375" style="568" bestFit="1" customWidth="1"/>
    <col min="523" max="525" width="8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5" width="7.625" style="568" bestFit="1" customWidth="1"/>
    <col min="776" max="776" width="2.25" style="568" bestFit="1" customWidth="1"/>
    <col min="777" max="777" width="4.375" style="568" bestFit="1" customWidth="1"/>
    <col min="778" max="778" width="8.375" style="568" bestFit="1" customWidth="1"/>
    <col min="779" max="781" width="8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1" width="7.625" style="568" bestFit="1" customWidth="1"/>
    <col min="1032" max="1032" width="2.25" style="568" bestFit="1" customWidth="1"/>
    <col min="1033" max="1033" width="4.375" style="568" bestFit="1" customWidth="1"/>
    <col min="1034" max="1034" width="8.375" style="568" bestFit="1" customWidth="1"/>
    <col min="1035" max="1037" width="8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7" width="7.625" style="568" bestFit="1" customWidth="1"/>
    <col min="1288" max="1288" width="2.25" style="568" bestFit="1" customWidth="1"/>
    <col min="1289" max="1289" width="4.375" style="568" bestFit="1" customWidth="1"/>
    <col min="1290" max="1290" width="8.375" style="568" bestFit="1" customWidth="1"/>
    <col min="1291" max="1293" width="8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3" width="7.625" style="568" bestFit="1" customWidth="1"/>
    <col min="1544" max="1544" width="2.25" style="568" bestFit="1" customWidth="1"/>
    <col min="1545" max="1545" width="4.375" style="568" bestFit="1" customWidth="1"/>
    <col min="1546" max="1546" width="8.375" style="568" bestFit="1" customWidth="1"/>
    <col min="1547" max="1549" width="8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799" width="7.625" style="568" bestFit="1" customWidth="1"/>
    <col min="1800" max="1800" width="2.25" style="568" bestFit="1" customWidth="1"/>
    <col min="1801" max="1801" width="4.375" style="568" bestFit="1" customWidth="1"/>
    <col min="1802" max="1802" width="8.375" style="568" bestFit="1" customWidth="1"/>
    <col min="1803" max="1805" width="8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5" width="7.625" style="568" bestFit="1" customWidth="1"/>
    <col min="2056" max="2056" width="2.25" style="568" bestFit="1" customWidth="1"/>
    <col min="2057" max="2057" width="4.375" style="568" bestFit="1" customWidth="1"/>
    <col min="2058" max="2058" width="8.375" style="568" bestFit="1" customWidth="1"/>
    <col min="2059" max="2061" width="8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1" width="7.625" style="568" bestFit="1" customWidth="1"/>
    <col min="2312" max="2312" width="2.25" style="568" bestFit="1" customWidth="1"/>
    <col min="2313" max="2313" width="4.375" style="568" bestFit="1" customWidth="1"/>
    <col min="2314" max="2314" width="8.375" style="568" bestFit="1" customWidth="1"/>
    <col min="2315" max="2317" width="8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7" width="7.625" style="568" bestFit="1" customWidth="1"/>
    <col min="2568" max="2568" width="2.25" style="568" bestFit="1" customWidth="1"/>
    <col min="2569" max="2569" width="4.375" style="568" bestFit="1" customWidth="1"/>
    <col min="2570" max="2570" width="8.375" style="568" bestFit="1" customWidth="1"/>
    <col min="2571" max="2573" width="8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3" width="7.625" style="568" bestFit="1" customWidth="1"/>
    <col min="2824" max="2824" width="2.25" style="568" bestFit="1" customWidth="1"/>
    <col min="2825" max="2825" width="4.375" style="568" bestFit="1" customWidth="1"/>
    <col min="2826" max="2826" width="8.375" style="568" bestFit="1" customWidth="1"/>
    <col min="2827" max="2829" width="8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79" width="7.625" style="568" bestFit="1" customWidth="1"/>
    <col min="3080" max="3080" width="2.25" style="568" bestFit="1" customWidth="1"/>
    <col min="3081" max="3081" width="4.375" style="568" bestFit="1" customWidth="1"/>
    <col min="3082" max="3082" width="8.375" style="568" bestFit="1" customWidth="1"/>
    <col min="3083" max="3085" width="8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5" width="7.625" style="568" bestFit="1" customWidth="1"/>
    <col min="3336" max="3336" width="2.25" style="568" bestFit="1" customWidth="1"/>
    <col min="3337" max="3337" width="4.375" style="568" bestFit="1" customWidth="1"/>
    <col min="3338" max="3338" width="8.375" style="568" bestFit="1" customWidth="1"/>
    <col min="3339" max="3341" width="8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1" width="7.625" style="568" bestFit="1" customWidth="1"/>
    <col min="3592" max="3592" width="2.25" style="568" bestFit="1" customWidth="1"/>
    <col min="3593" max="3593" width="4.375" style="568" bestFit="1" customWidth="1"/>
    <col min="3594" max="3594" width="8.375" style="568" bestFit="1" customWidth="1"/>
    <col min="3595" max="3597" width="8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7" width="7.625" style="568" bestFit="1" customWidth="1"/>
    <col min="3848" max="3848" width="2.25" style="568" bestFit="1" customWidth="1"/>
    <col min="3849" max="3849" width="4.375" style="568" bestFit="1" customWidth="1"/>
    <col min="3850" max="3850" width="8.375" style="568" bestFit="1" customWidth="1"/>
    <col min="3851" max="3853" width="8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3" width="7.625" style="568" bestFit="1" customWidth="1"/>
    <col min="4104" max="4104" width="2.25" style="568" bestFit="1" customWidth="1"/>
    <col min="4105" max="4105" width="4.375" style="568" bestFit="1" customWidth="1"/>
    <col min="4106" max="4106" width="8.375" style="568" bestFit="1" customWidth="1"/>
    <col min="4107" max="4109" width="8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59" width="7.625" style="568" bestFit="1" customWidth="1"/>
    <col min="4360" max="4360" width="2.25" style="568" bestFit="1" customWidth="1"/>
    <col min="4361" max="4361" width="4.375" style="568" bestFit="1" customWidth="1"/>
    <col min="4362" max="4362" width="8.375" style="568" bestFit="1" customWidth="1"/>
    <col min="4363" max="4365" width="8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5" width="7.625" style="568" bestFit="1" customWidth="1"/>
    <col min="4616" max="4616" width="2.25" style="568" bestFit="1" customWidth="1"/>
    <col min="4617" max="4617" width="4.375" style="568" bestFit="1" customWidth="1"/>
    <col min="4618" max="4618" width="8.375" style="568" bestFit="1" customWidth="1"/>
    <col min="4619" max="4621" width="8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1" width="7.625" style="568" bestFit="1" customWidth="1"/>
    <col min="4872" max="4872" width="2.25" style="568" bestFit="1" customWidth="1"/>
    <col min="4873" max="4873" width="4.375" style="568" bestFit="1" customWidth="1"/>
    <col min="4874" max="4874" width="8.375" style="568" bestFit="1" customWidth="1"/>
    <col min="4875" max="4877" width="8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7" width="7.625" style="568" bestFit="1" customWidth="1"/>
    <col min="5128" max="5128" width="2.25" style="568" bestFit="1" customWidth="1"/>
    <col min="5129" max="5129" width="4.375" style="568" bestFit="1" customWidth="1"/>
    <col min="5130" max="5130" width="8.375" style="568" bestFit="1" customWidth="1"/>
    <col min="5131" max="5133" width="8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3" width="7.625" style="568" bestFit="1" customWidth="1"/>
    <col min="5384" max="5384" width="2.25" style="568" bestFit="1" customWidth="1"/>
    <col min="5385" max="5385" width="4.375" style="568" bestFit="1" customWidth="1"/>
    <col min="5386" max="5386" width="8.375" style="568" bestFit="1" customWidth="1"/>
    <col min="5387" max="5389" width="8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39" width="7.625" style="568" bestFit="1" customWidth="1"/>
    <col min="5640" max="5640" width="2.25" style="568" bestFit="1" customWidth="1"/>
    <col min="5641" max="5641" width="4.375" style="568" bestFit="1" customWidth="1"/>
    <col min="5642" max="5642" width="8.375" style="568" bestFit="1" customWidth="1"/>
    <col min="5643" max="5645" width="8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5" width="7.625" style="568" bestFit="1" customWidth="1"/>
    <col min="5896" max="5896" width="2.25" style="568" bestFit="1" customWidth="1"/>
    <col min="5897" max="5897" width="4.375" style="568" bestFit="1" customWidth="1"/>
    <col min="5898" max="5898" width="8.375" style="568" bestFit="1" customWidth="1"/>
    <col min="5899" max="5901" width="8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1" width="7.625" style="568" bestFit="1" customWidth="1"/>
    <col min="6152" max="6152" width="2.25" style="568" bestFit="1" customWidth="1"/>
    <col min="6153" max="6153" width="4.375" style="568" bestFit="1" customWidth="1"/>
    <col min="6154" max="6154" width="8.375" style="568" bestFit="1" customWidth="1"/>
    <col min="6155" max="6157" width="8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7" width="7.625" style="568" bestFit="1" customWidth="1"/>
    <col min="6408" max="6408" width="2.25" style="568" bestFit="1" customWidth="1"/>
    <col min="6409" max="6409" width="4.375" style="568" bestFit="1" customWidth="1"/>
    <col min="6410" max="6410" width="8.375" style="568" bestFit="1" customWidth="1"/>
    <col min="6411" max="6413" width="8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3" width="7.625" style="568" bestFit="1" customWidth="1"/>
    <col min="6664" max="6664" width="2.25" style="568" bestFit="1" customWidth="1"/>
    <col min="6665" max="6665" width="4.375" style="568" bestFit="1" customWidth="1"/>
    <col min="6666" max="6666" width="8.375" style="568" bestFit="1" customWidth="1"/>
    <col min="6667" max="6669" width="8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19" width="7.625" style="568" bestFit="1" customWidth="1"/>
    <col min="6920" max="6920" width="2.25" style="568" bestFit="1" customWidth="1"/>
    <col min="6921" max="6921" width="4.375" style="568" bestFit="1" customWidth="1"/>
    <col min="6922" max="6922" width="8.375" style="568" bestFit="1" customWidth="1"/>
    <col min="6923" max="6925" width="8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5" width="7.625" style="568" bestFit="1" customWidth="1"/>
    <col min="7176" max="7176" width="2.25" style="568" bestFit="1" customWidth="1"/>
    <col min="7177" max="7177" width="4.375" style="568" bestFit="1" customWidth="1"/>
    <col min="7178" max="7178" width="8.375" style="568" bestFit="1" customWidth="1"/>
    <col min="7179" max="7181" width="8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1" width="7.625" style="568" bestFit="1" customWidth="1"/>
    <col min="7432" max="7432" width="2.25" style="568" bestFit="1" customWidth="1"/>
    <col min="7433" max="7433" width="4.375" style="568" bestFit="1" customWidth="1"/>
    <col min="7434" max="7434" width="8.375" style="568" bestFit="1" customWidth="1"/>
    <col min="7435" max="7437" width="8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7" width="7.625" style="568" bestFit="1" customWidth="1"/>
    <col min="7688" max="7688" width="2.25" style="568" bestFit="1" customWidth="1"/>
    <col min="7689" max="7689" width="4.375" style="568" bestFit="1" customWidth="1"/>
    <col min="7690" max="7690" width="8.375" style="568" bestFit="1" customWidth="1"/>
    <col min="7691" max="7693" width="8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3" width="7.625" style="568" bestFit="1" customWidth="1"/>
    <col min="7944" max="7944" width="2.25" style="568" bestFit="1" customWidth="1"/>
    <col min="7945" max="7945" width="4.375" style="568" bestFit="1" customWidth="1"/>
    <col min="7946" max="7946" width="8.375" style="568" bestFit="1" customWidth="1"/>
    <col min="7947" max="7949" width="8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199" width="7.625" style="568" bestFit="1" customWidth="1"/>
    <col min="8200" max="8200" width="2.25" style="568" bestFit="1" customWidth="1"/>
    <col min="8201" max="8201" width="4.375" style="568" bestFit="1" customWidth="1"/>
    <col min="8202" max="8202" width="8.375" style="568" bestFit="1" customWidth="1"/>
    <col min="8203" max="8205" width="8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5" width="7.625" style="568" bestFit="1" customWidth="1"/>
    <col min="8456" max="8456" width="2.25" style="568" bestFit="1" customWidth="1"/>
    <col min="8457" max="8457" width="4.375" style="568" bestFit="1" customWidth="1"/>
    <col min="8458" max="8458" width="8.375" style="568" bestFit="1" customWidth="1"/>
    <col min="8459" max="8461" width="8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1" width="7.625" style="568" bestFit="1" customWidth="1"/>
    <col min="8712" max="8712" width="2.25" style="568" bestFit="1" customWidth="1"/>
    <col min="8713" max="8713" width="4.375" style="568" bestFit="1" customWidth="1"/>
    <col min="8714" max="8714" width="8.375" style="568" bestFit="1" customWidth="1"/>
    <col min="8715" max="8717" width="8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7" width="7.625" style="568" bestFit="1" customWidth="1"/>
    <col min="8968" max="8968" width="2.25" style="568" bestFit="1" customWidth="1"/>
    <col min="8969" max="8969" width="4.375" style="568" bestFit="1" customWidth="1"/>
    <col min="8970" max="8970" width="8.375" style="568" bestFit="1" customWidth="1"/>
    <col min="8971" max="8973" width="8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3" width="7.625" style="568" bestFit="1" customWidth="1"/>
    <col min="9224" max="9224" width="2.25" style="568" bestFit="1" customWidth="1"/>
    <col min="9225" max="9225" width="4.375" style="568" bestFit="1" customWidth="1"/>
    <col min="9226" max="9226" width="8.375" style="568" bestFit="1" customWidth="1"/>
    <col min="9227" max="9229" width="8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79" width="7.625" style="568" bestFit="1" customWidth="1"/>
    <col min="9480" max="9480" width="2.25" style="568" bestFit="1" customWidth="1"/>
    <col min="9481" max="9481" width="4.375" style="568" bestFit="1" customWidth="1"/>
    <col min="9482" max="9482" width="8.375" style="568" bestFit="1" customWidth="1"/>
    <col min="9483" max="9485" width="8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5" width="7.625" style="568" bestFit="1" customWidth="1"/>
    <col min="9736" max="9736" width="2.25" style="568" bestFit="1" customWidth="1"/>
    <col min="9737" max="9737" width="4.375" style="568" bestFit="1" customWidth="1"/>
    <col min="9738" max="9738" width="8.375" style="568" bestFit="1" customWidth="1"/>
    <col min="9739" max="9741" width="8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1" width="7.625" style="568" bestFit="1" customWidth="1"/>
    <col min="9992" max="9992" width="2.25" style="568" bestFit="1" customWidth="1"/>
    <col min="9993" max="9993" width="4.375" style="568" bestFit="1" customWidth="1"/>
    <col min="9994" max="9994" width="8.375" style="568" bestFit="1" customWidth="1"/>
    <col min="9995" max="9997" width="8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7" width="7.625" style="568" bestFit="1" customWidth="1"/>
    <col min="10248" max="10248" width="2.25" style="568" bestFit="1" customWidth="1"/>
    <col min="10249" max="10249" width="4.375" style="568" bestFit="1" customWidth="1"/>
    <col min="10250" max="10250" width="8.375" style="568" bestFit="1" customWidth="1"/>
    <col min="10251" max="10253" width="8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3" width="7.625" style="568" bestFit="1" customWidth="1"/>
    <col min="10504" max="10504" width="2.25" style="568" bestFit="1" customWidth="1"/>
    <col min="10505" max="10505" width="4.375" style="568" bestFit="1" customWidth="1"/>
    <col min="10506" max="10506" width="8.375" style="568" bestFit="1" customWidth="1"/>
    <col min="10507" max="10509" width="8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59" width="7.625" style="568" bestFit="1" customWidth="1"/>
    <col min="10760" max="10760" width="2.25" style="568" bestFit="1" customWidth="1"/>
    <col min="10761" max="10761" width="4.375" style="568" bestFit="1" customWidth="1"/>
    <col min="10762" max="10762" width="8.375" style="568" bestFit="1" customWidth="1"/>
    <col min="10763" max="10765" width="8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5" width="7.625" style="568" bestFit="1" customWidth="1"/>
    <col min="11016" max="11016" width="2.25" style="568" bestFit="1" customWidth="1"/>
    <col min="11017" max="11017" width="4.375" style="568" bestFit="1" customWidth="1"/>
    <col min="11018" max="11018" width="8.375" style="568" bestFit="1" customWidth="1"/>
    <col min="11019" max="11021" width="8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1" width="7.625" style="568" bestFit="1" customWidth="1"/>
    <col min="11272" max="11272" width="2.25" style="568" bestFit="1" customWidth="1"/>
    <col min="11273" max="11273" width="4.375" style="568" bestFit="1" customWidth="1"/>
    <col min="11274" max="11274" width="8.375" style="568" bestFit="1" customWidth="1"/>
    <col min="11275" max="11277" width="8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7" width="7.625" style="568" bestFit="1" customWidth="1"/>
    <col min="11528" max="11528" width="2.25" style="568" bestFit="1" customWidth="1"/>
    <col min="11529" max="11529" width="4.375" style="568" bestFit="1" customWidth="1"/>
    <col min="11530" max="11530" width="8.375" style="568" bestFit="1" customWidth="1"/>
    <col min="11531" max="11533" width="8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3" width="7.625" style="568" bestFit="1" customWidth="1"/>
    <col min="11784" max="11784" width="2.25" style="568" bestFit="1" customWidth="1"/>
    <col min="11785" max="11785" width="4.375" style="568" bestFit="1" customWidth="1"/>
    <col min="11786" max="11786" width="8.375" style="568" bestFit="1" customWidth="1"/>
    <col min="11787" max="11789" width="8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39" width="7.625" style="568" bestFit="1" customWidth="1"/>
    <col min="12040" max="12040" width="2.25" style="568" bestFit="1" customWidth="1"/>
    <col min="12041" max="12041" width="4.375" style="568" bestFit="1" customWidth="1"/>
    <col min="12042" max="12042" width="8.375" style="568" bestFit="1" customWidth="1"/>
    <col min="12043" max="12045" width="8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5" width="7.625" style="568" bestFit="1" customWidth="1"/>
    <col min="12296" max="12296" width="2.25" style="568" bestFit="1" customWidth="1"/>
    <col min="12297" max="12297" width="4.375" style="568" bestFit="1" customWidth="1"/>
    <col min="12298" max="12298" width="8.375" style="568" bestFit="1" customWidth="1"/>
    <col min="12299" max="12301" width="8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1" width="7.625" style="568" bestFit="1" customWidth="1"/>
    <col min="12552" max="12552" width="2.25" style="568" bestFit="1" customWidth="1"/>
    <col min="12553" max="12553" width="4.375" style="568" bestFit="1" customWidth="1"/>
    <col min="12554" max="12554" width="8.375" style="568" bestFit="1" customWidth="1"/>
    <col min="12555" max="12557" width="8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7" width="7.625" style="568" bestFit="1" customWidth="1"/>
    <col min="12808" max="12808" width="2.25" style="568" bestFit="1" customWidth="1"/>
    <col min="12809" max="12809" width="4.375" style="568" bestFit="1" customWidth="1"/>
    <col min="12810" max="12810" width="8.375" style="568" bestFit="1" customWidth="1"/>
    <col min="12811" max="12813" width="8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3" width="7.625" style="568" bestFit="1" customWidth="1"/>
    <col min="13064" max="13064" width="2.25" style="568" bestFit="1" customWidth="1"/>
    <col min="13065" max="13065" width="4.375" style="568" bestFit="1" customWidth="1"/>
    <col min="13066" max="13066" width="8.375" style="568" bestFit="1" customWidth="1"/>
    <col min="13067" max="13069" width="8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19" width="7.625" style="568" bestFit="1" customWidth="1"/>
    <col min="13320" max="13320" width="2.25" style="568" bestFit="1" customWidth="1"/>
    <col min="13321" max="13321" width="4.375" style="568" bestFit="1" customWidth="1"/>
    <col min="13322" max="13322" width="8.375" style="568" bestFit="1" customWidth="1"/>
    <col min="13323" max="13325" width="8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5" width="7.625" style="568" bestFit="1" customWidth="1"/>
    <col min="13576" max="13576" width="2.25" style="568" bestFit="1" customWidth="1"/>
    <col min="13577" max="13577" width="4.375" style="568" bestFit="1" customWidth="1"/>
    <col min="13578" max="13578" width="8.375" style="568" bestFit="1" customWidth="1"/>
    <col min="13579" max="13581" width="8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1" width="7.625" style="568" bestFit="1" customWidth="1"/>
    <col min="13832" max="13832" width="2.25" style="568" bestFit="1" customWidth="1"/>
    <col min="13833" max="13833" width="4.375" style="568" bestFit="1" customWidth="1"/>
    <col min="13834" max="13834" width="8.375" style="568" bestFit="1" customWidth="1"/>
    <col min="13835" max="13837" width="8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7" width="7.625" style="568" bestFit="1" customWidth="1"/>
    <col min="14088" max="14088" width="2.25" style="568" bestFit="1" customWidth="1"/>
    <col min="14089" max="14089" width="4.375" style="568" bestFit="1" customWidth="1"/>
    <col min="14090" max="14090" width="8.375" style="568" bestFit="1" customWidth="1"/>
    <col min="14091" max="14093" width="8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3" width="7.625" style="568" bestFit="1" customWidth="1"/>
    <col min="14344" max="14344" width="2.25" style="568" bestFit="1" customWidth="1"/>
    <col min="14345" max="14345" width="4.375" style="568" bestFit="1" customWidth="1"/>
    <col min="14346" max="14346" width="8.375" style="568" bestFit="1" customWidth="1"/>
    <col min="14347" max="14349" width="8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599" width="7.625" style="568" bestFit="1" customWidth="1"/>
    <col min="14600" max="14600" width="2.25" style="568" bestFit="1" customWidth="1"/>
    <col min="14601" max="14601" width="4.375" style="568" bestFit="1" customWidth="1"/>
    <col min="14602" max="14602" width="8.375" style="568" bestFit="1" customWidth="1"/>
    <col min="14603" max="14605" width="8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5" width="7.625" style="568" bestFit="1" customWidth="1"/>
    <col min="14856" max="14856" width="2.25" style="568" bestFit="1" customWidth="1"/>
    <col min="14857" max="14857" width="4.375" style="568" bestFit="1" customWidth="1"/>
    <col min="14858" max="14858" width="8.375" style="568" bestFit="1" customWidth="1"/>
    <col min="14859" max="14861" width="8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1" width="7.625" style="568" bestFit="1" customWidth="1"/>
    <col min="15112" max="15112" width="2.25" style="568" bestFit="1" customWidth="1"/>
    <col min="15113" max="15113" width="4.375" style="568" bestFit="1" customWidth="1"/>
    <col min="15114" max="15114" width="8.375" style="568" bestFit="1" customWidth="1"/>
    <col min="15115" max="15117" width="8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7" width="7.625" style="568" bestFit="1" customWidth="1"/>
    <col min="15368" max="15368" width="2.25" style="568" bestFit="1" customWidth="1"/>
    <col min="15369" max="15369" width="4.375" style="568" bestFit="1" customWidth="1"/>
    <col min="15370" max="15370" width="8.375" style="568" bestFit="1" customWidth="1"/>
    <col min="15371" max="15373" width="8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3" width="7.625" style="568" bestFit="1" customWidth="1"/>
    <col min="15624" max="15624" width="2.25" style="568" bestFit="1" customWidth="1"/>
    <col min="15625" max="15625" width="4.375" style="568" bestFit="1" customWidth="1"/>
    <col min="15626" max="15626" width="8.375" style="568" bestFit="1" customWidth="1"/>
    <col min="15627" max="15629" width="8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79" width="7.625" style="568" bestFit="1" customWidth="1"/>
    <col min="15880" max="15880" width="2.25" style="568" bestFit="1" customWidth="1"/>
    <col min="15881" max="15881" width="4.375" style="568" bestFit="1" customWidth="1"/>
    <col min="15882" max="15882" width="8.375" style="568" bestFit="1" customWidth="1"/>
    <col min="15883" max="15885" width="8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5" width="7.625" style="568" bestFit="1" customWidth="1"/>
    <col min="16136" max="16136" width="2.25" style="568" bestFit="1" customWidth="1"/>
    <col min="16137" max="16137" width="4.375" style="568" bestFit="1" customWidth="1"/>
    <col min="16138" max="16138" width="8.375" style="568" bestFit="1" customWidth="1"/>
    <col min="16139" max="16141" width="8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908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39</v>
      </c>
      <c r="J9" s="567" t="s">
        <v>327</v>
      </c>
      <c r="K9" s="567" t="s">
        <v>1002</v>
      </c>
      <c r="L9" s="567" t="s">
        <v>1003</v>
      </c>
      <c r="M9" s="567" t="s">
        <v>1004</v>
      </c>
      <c r="N9" s="567" t="s">
        <v>1011</v>
      </c>
      <c r="O9" s="567" t="s">
        <v>1012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3.9166666666666662E-2</v>
      </c>
      <c r="E10" s="567">
        <v>27072</v>
      </c>
      <c r="F10" s="567" t="s">
        <v>1001</v>
      </c>
      <c r="G10" s="567" t="s">
        <v>326</v>
      </c>
      <c r="H10" s="567">
        <v>0</v>
      </c>
      <c r="I10" s="567">
        <v>39</v>
      </c>
      <c r="J10" s="567" t="s">
        <v>327</v>
      </c>
      <c r="K10" s="567" t="s">
        <v>1002</v>
      </c>
      <c r="L10" s="567" t="s">
        <v>1003</v>
      </c>
      <c r="M10" s="567" t="s">
        <v>1004</v>
      </c>
      <c r="N10" s="567" t="s">
        <v>1011</v>
      </c>
      <c r="O10" s="567" t="s">
        <v>1012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4.1666666666666664E-2</v>
      </c>
      <c r="E11" s="567">
        <v>1728</v>
      </c>
      <c r="F11" s="567" t="s">
        <v>1001</v>
      </c>
      <c r="G11" s="567" t="s">
        <v>326</v>
      </c>
      <c r="H11" s="567">
        <v>0</v>
      </c>
      <c r="I11" s="567">
        <v>97</v>
      </c>
      <c r="J11" s="567" t="s">
        <v>1010</v>
      </c>
      <c r="K11" s="567" t="s">
        <v>1002</v>
      </c>
      <c r="L11" s="567" t="s">
        <v>1003</v>
      </c>
      <c r="M11" s="567" t="s">
        <v>1004</v>
      </c>
      <c r="N11" s="567" t="s">
        <v>1005</v>
      </c>
      <c r="O11" s="567" t="s">
        <v>1006</v>
      </c>
      <c r="P11" s="567" t="s">
        <v>1007</v>
      </c>
      <c r="Q11" s="567" t="s">
        <v>1008</v>
      </c>
      <c r="R11" s="567">
        <v>80</v>
      </c>
    </row>
    <row r="12" spans="1:18" ht="15" x14ac:dyDescent="0.2">
      <c r="A12" s="567"/>
      <c r="B12" s="567"/>
      <c r="C12" s="567"/>
      <c r="D12" s="569">
        <v>0.15263888888888888</v>
      </c>
      <c r="E12" s="567">
        <v>76704</v>
      </c>
      <c r="F12" s="567" t="s">
        <v>1001</v>
      </c>
      <c r="G12" s="567" t="s">
        <v>326</v>
      </c>
      <c r="H12" s="567">
        <v>0</v>
      </c>
      <c r="I12" s="567">
        <v>97</v>
      </c>
      <c r="J12" s="567" t="s">
        <v>1010</v>
      </c>
      <c r="K12" s="567" t="s">
        <v>1002</v>
      </c>
      <c r="L12" s="567" t="s">
        <v>1003</v>
      </c>
      <c r="M12" s="567" t="s">
        <v>1004</v>
      </c>
      <c r="N12" s="567" t="s">
        <v>1005</v>
      </c>
      <c r="O12" s="567" t="s">
        <v>1006</v>
      </c>
      <c r="P12" s="567" t="s">
        <v>1009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0.15972222222222224</v>
      </c>
      <c r="E13" s="567">
        <v>4896</v>
      </c>
      <c r="F13" s="567" t="s">
        <v>1001</v>
      </c>
      <c r="G13" s="567" t="s">
        <v>326</v>
      </c>
      <c r="H13" s="567">
        <v>0</v>
      </c>
      <c r="I13" s="567">
        <v>401</v>
      </c>
      <c r="J13" s="567" t="s">
        <v>1010</v>
      </c>
      <c r="K13" s="567" t="s">
        <v>1002</v>
      </c>
      <c r="L13" s="567" t="s">
        <v>1003</v>
      </c>
      <c r="M13" s="567" t="s">
        <v>1004</v>
      </c>
      <c r="N13" s="567" t="s">
        <v>1005</v>
      </c>
      <c r="O13" s="567" t="s">
        <v>1006</v>
      </c>
      <c r="P13" s="567" t="s">
        <v>1007</v>
      </c>
      <c r="Q13" s="567" t="s">
        <v>1008</v>
      </c>
      <c r="R13" s="567">
        <v>80</v>
      </c>
    </row>
    <row r="14" spans="1:18" ht="15" x14ac:dyDescent="0.2">
      <c r="A14" s="567"/>
      <c r="B14" s="567"/>
      <c r="C14" s="567"/>
      <c r="D14" s="569">
        <v>0.32226851851851851</v>
      </c>
      <c r="E14" s="567">
        <v>112352</v>
      </c>
      <c r="F14" s="567" t="s">
        <v>1001</v>
      </c>
      <c r="G14" s="567" t="s">
        <v>326</v>
      </c>
      <c r="H14" s="567">
        <v>0</v>
      </c>
      <c r="I14" s="567">
        <v>401</v>
      </c>
      <c r="J14" s="567" t="s">
        <v>1010</v>
      </c>
      <c r="K14" s="567" t="s">
        <v>1002</v>
      </c>
      <c r="L14" s="567" t="s">
        <v>1003</v>
      </c>
      <c r="M14" s="567" t="s">
        <v>1004</v>
      </c>
      <c r="N14" s="567" t="s">
        <v>1005</v>
      </c>
      <c r="O14" s="567" t="s">
        <v>1006</v>
      </c>
      <c r="P14" s="567" t="s">
        <v>1009</v>
      </c>
      <c r="Q14" s="567" t="s">
        <v>1008</v>
      </c>
      <c r="R14" s="567">
        <v>80</v>
      </c>
    </row>
    <row r="15" spans="1:18" ht="15" x14ac:dyDescent="0.2">
      <c r="A15" s="567"/>
      <c r="B15" s="567"/>
      <c r="C15" s="567"/>
      <c r="D15" s="569">
        <v>0.32226851851851851</v>
      </c>
      <c r="E15" s="567">
        <v>0</v>
      </c>
      <c r="F15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7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7" width="7.625" style="568" bestFit="1" customWidth="1"/>
    <col min="8" max="8" width="2.25" style="568" bestFit="1" customWidth="1"/>
    <col min="9" max="9" width="4.375" style="568" bestFit="1" customWidth="1"/>
    <col min="10" max="10" width="8.375" style="568" bestFit="1" customWidth="1"/>
    <col min="11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3" width="7.625" style="568" bestFit="1" customWidth="1"/>
    <col min="264" max="264" width="2.25" style="568" bestFit="1" customWidth="1"/>
    <col min="265" max="265" width="4.375" style="568" bestFit="1" customWidth="1"/>
    <col min="266" max="266" width="8.375" style="568" bestFit="1" customWidth="1"/>
    <col min="267" max="269" width="8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19" width="7.625" style="568" bestFit="1" customWidth="1"/>
    <col min="520" max="520" width="2.25" style="568" bestFit="1" customWidth="1"/>
    <col min="521" max="521" width="4.375" style="568" bestFit="1" customWidth="1"/>
    <col min="522" max="522" width="8.375" style="568" bestFit="1" customWidth="1"/>
    <col min="523" max="525" width="8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5" width="7.625" style="568" bestFit="1" customWidth="1"/>
    <col min="776" max="776" width="2.25" style="568" bestFit="1" customWidth="1"/>
    <col min="777" max="777" width="4.375" style="568" bestFit="1" customWidth="1"/>
    <col min="778" max="778" width="8.375" style="568" bestFit="1" customWidth="1"/>
    <col min="779" max="781" width="8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1" width="7.625" style="568" bestFit="1" customWidth="1"/>
    <col min="1032" max="1032" width="2.25" style="568" bestFit="1" customWidth="1"/>
    <col min="1033" max="1033" width="4.375" style="568" bestFit="1" customWidth="1"/>
    <col min="1034" max="1034" width="8.375" style="568" bestFit="1" customWidth="1"/>
    <col min="1035" max="1037" width="8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7" width="7.625" style="568" bestFit="1" customWidth="1"/>
    <col min="1288" max="1288" width="2.25" style="568" bestFit="1" customWidth="1"/>
    <col min="1289" max="1289" width="4.375" style="568" bestFit="1" customWidth="1"/>
    <col min="1290" max="1290" width="8.375" style="568" bestFit="1" customWidth="1"/>
    <col min="1291" max="1293" width="8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3" width="7.625" style="568" bestFit="1" customWidth="1"/>
    <col min="1544" max="1544" width="2.25" style="568" bestFit="1" customWidth="1"/>
    <col min="1545" max="1545" width="4.375" style="568" bestFit="1" customWidth="1"/>
    <col min="1546" max="1546" width="8.375" style="568" bestFit="1" customWidth="1"/>
    <col min="1547" max="1549" width="8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799" width="7.625" style="568" bestFit="1" customWidth="1"/>
    <col min="1800" max="1800" width="2.25" style="568" bestFit="1" customWidth="1"/>
    <col min="1801" max="1801" width="4.375" style="568" bestFit="1" customWidth="1"/>
    <col min="1802" max="1802" width="8.375" style="568" bestFit="1" customWidth="1"/>
    <col min="1803" max="1805" width="8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5" width="7.625" style="568" bestFit="1" customWidth="1"/>
    <col min="2056" max="2056" width="2.25" style="568" bestFit="1" customWidth="1"/>
    <col min="2057" max="2057" width="4.375" style="568" bestFit="1" customWidth="1"/>
    <col min="2058" max="2058" width="8.375" style="568" bestFit="1" customWidth="1"/>
    <col min="2059" max="2061" width="8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1" width="7.625" style="568" bestFit="1" customWidth="1"/>
    <col min="2312" max="2312" width="2.25" style="568" bestFit="1" customWidth="1"/>
    <col min="2313" max="2313" width="4.375" style="568" bestFit="1" customWidth="1"/>
    <col min="2314" max="2314" width="8.375" style="568" bestFit="1" customWidth="1"/>
    <col min="2315" max="2317" width="8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7" width="7.625" style="568" bestFit="1" customWidth="1"/>
    <col min="2568" max="2568" width="2.25" style="568" bestFit="1" customWidth="1"/>
    <col min="2569" max="2569" width="4.375" style="568" bestFit="1" customWidth="1"/>
    <col min="2570" max="2570" width="8.375" style="568" bestFit="1" customWidth="1"/>
    <col min="2571" max="2573" width="8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3" width="7.625" style="568" bestFit="1" customWidth="1"/>
    <col min="2824" max="2824" width="2.25" style="568" bestFit="1" customWidth="1"/>
    <col min="2825" max="2825" width="4.375" style="568" bestFit="1" customWidth="1"/>
    <col min="2826" max="2826" width="8.375" style="568" bestFit="1" customWidth="1"/>
    <col min="2827" max="2829" width="8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79" width="7.625" style="568" bestFit="1" customWidth="1"/>
    <col min="3080" max="3080" width="2.25" style="568" bestFit="1" customWidth="1"/>
    <col min="3081" max="3081" width="4.375" style="568" bestFit="1" customWidth="1"/>
    <col min="3082" max="3082" width="8.375" style="568" bestFit="1" customWidth="1"/>
    <col min="3083" max="3085" width="8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5" width="7.625" style="568" bestFit="1" customWidth="1"/>
    <col min="3336" max="3336" width="2.25" style="568" bestFit="1" customWidth="1"/>
    <col min="3337" max="3337" width="4.375" style="568" bestFit="1" customWidth="1"/>
    <col min="3338" max="3338" width="8.375" style="568" bestFit="1" customWidth="1"/>
    <col min="3339" max="3341" width="8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1" width="7.625" style="568" bestFit="1" customWidth="1"/>
    <col min="3592" max="3592" width="2.25" style="568" bestFit="1" customWidth="1"/>
    <col min="3593" max="3593" width="4.375" style="568" bestFit="1" customWidth="1"/>
    <col min="3594" max="3594" width="8.375" style="568" bestFit="1" customWidth="1"/>
    <col min="3595" max="3597" width="8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7" width="7.625" style="568" bestFit="1" customWidth="1"/>
    <col min="3848" max="3848" width="2.25" style="568" bestFit="1" customWidth="1"/>
    <col min="3849" max="3849" width="4.375" style="568" bestFit="1" customWidth="1"/>
    <col min="3850" max="3850" width="8.375" style="568" bestFit="1" customWidth="1"/>
    <col min="3851" max="3853" width="8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3" width="7.625" style="568" bestFit="1" customWidth="1"/>
    <col min="4104" max="4104" width="2.25" style="568" bestFit="1" customWidth="1"/>
    <col min="4105" max="4105" width="4.375" style="568" bestFit="1" customWidth="1"/>
    <col min="4106" max="4106" width="8.375" style="568" bestFit="1" customWidth="1"/>
    <col min="4107" max="4109" width="8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59" width="7.625" style="568" bestFit="1" customWidth="1"/>
    <col min="4360" max="4360" width="2.25" style="568" bestFit="1" customWidth="1"/>
    <col min="4361" max="4361" width="4.375" style="568" bestFit="1" customWidth="1"/>
    <col min="4362" max="4362" width="8.375" style="568" bestFit="1" customWidth="1"/>
    <col min="4363" max="4365" width="8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5" width="7.625" style="568" bestFit="1" customWidth="1"/>
    <col min="4616" max="4616" width="2.25" style="568" bestFit="1" customWidth="1"/>
    <col min="4617" max="4617" width="4.375" style="568" bestFit="1" customWidth="1"/>
    <col min="4618" max="4618" width="8.375" style="568" bestFit="1" customWidth="1"/>
    <col min="4619" max="4621" width="8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1" width="7.625" style="568" bestFit="1" customWidth="1"/>
    <col min="4872" max="4872" width="2.25" style="568" bestFit="1" customWidth="1"/>
    <col min="4873" max="4873" width="4.375" style="568" bestFit="1" customWidth="1"/>
    <col min="4874" max="4874" width="8.375" style="568" bestFit="1" customWidth="1"/>
    <col min="4875" max="4877" width="8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7" width="7.625" style="568" bestFit="1" customWidth="1"/>
    <col min="5128" max="5128" width="2.25" style="568" bestFit="1" customWidth="1"/>
    <col min="5129" max="5129" width="4.375" style="568" bestFit="1" customWidth="1"/>
    <col min="5130" max="5130" width="8.375" style="568" bestFit="1" customWidth="1"/>
    <col min="5131" max="5133" width="8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3" width="7.625" style="568" bestFit="1" customWidth="1"/>
    <col min="5384" max="5384" width="2.25" style="568" bestFit="1" customWidth="1"/>
    <col min="5385" max="5385" width="4.375" style="568" bestFit="1" customWidth="1"/>
    <col min="5386" max="5386" width="8.375" style="568" bestFit="1" customWidth="1"/>
    <col min="5387" max="5389" width="8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39" width="7.625" style="568" bestFit="1" customWidth="1"/>
    <col min="5640" max="5640" width="2.25" style="568" bestFit="1" customWidth="1"/>
    <col min="5641" max="5641" width="4.375" style="568" bestFit="1" customWidth="1"/>
    <col min="5642" max="5642" width="8.375" style="568" bestFit="1" customWidth="1"/>
    <col min="5643" max="5645" width="8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5" width="7.625" style="568" bestFit="1" customWidth="1"/>
    <col min="5896" max="5896" width="2.25" style="568" bestFit="1" customWidth="1"/>
    <col min="5897" max="5897" width="4.375" style="568" bestFit="1" customWidth="1"/>
    <col min="5898" max="5898" width="8.375" style="568" bestFit="1" customWidth="1"/>
    <col min="5899" max="5901" width="8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1" width="7.625" style="568" bestFit="1" customWidth="1"/>
    <col min="6152" max="6152" width="2.25" style="568" bestFit="1" customWidth="1"/>
    <col min="6153" max="6153" width="4.375" style="568" bestFit="1" customWidth="1"/>
    <col min="6154" max="6154" width="8.375" style="568" bestFit="1" customWidth="1"/>
    <col min="6155" max="6157" width="8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7" width="7.625" style="568" bestFit="1" customWidth="1"/>
    <col min="6408" max="6408" width="2.25" style="568" bestFit="1" customWidth="1"/>
    <col min="6409" max="6409" width="4.375" style="568" bestFit="1" customWidth="1"/>
    <col min="6410" max="6410" width="8.375" style="568" bestFit="1" customWidth="1"/>
    <col min="6411" max="6413" width="8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3" width="7.625" style="568" bestFit="1" customWidth="1"/>
    <col min="6664" max="6664" width="2.25" style="568" bestFit="1" customWidth="1"/>
    <col min="6665" max="6665" width="4.375" style="568" bestFit="1" customWidth="1"/>
    <col min="6666" max="6666" width="8.375" style="568" bestFit="1" customWidth="1"/>
    <col min="6667" max="6669" width="8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19" width="7.625" style="568" bestFit="1" customWidth="1"/>
    <col min="6920" max="6920" width="2.25" style="568" bestFit="1" customWidth="1"/>
    <col min="6921" max="6921" width="4.375" style="568" bestFit="1" customWidth="1"/>
    <col min="6922" max="6922" width="8.375" style="568" bestFit="1" customWidth="1"/>
    <col min="6923" max="6925" width="8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5" width="7.625" style="568" bestFit="1" customWidth="1"/>
    <col min="7176" max="7176" width="2.25" style="568" bestFit="1" customWidth="1"/>
    <col min="7177" max="7177" width="4.375" style="568" bestFit="1" customWidth="1"/>
    <col min="7178" max="7178" width="8.375" style="568" bestFit="1" customWidth="1"/>
    <col min="7179" max="7181" width="8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1" width="7.625" style="568" bestFit="1" customWidth="1"/>
    <col min="7432" max="7432" width="2.25" style="568" bestFit="1" customWidth="1"/>
    <col min="7433" max="7433" width="4.375" style="568" bestFit="1" customWidth="1"/>
    <col min="7434" max="7434" width="8.375" style="568" bestFit="1" customWidth="1"/>
    <col min="7435" max="7437" width="8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7" width="7.625" style="568" bestFit="1" customWidth="1"/>
    <col min="7688" max="7688" width="2.25" style="568" bestFit="1" customWidth="1"/>
    <col min="7689" max="7689" width="4.375" style="568" bestFit="1" customWidth="1"/>
    <col min="7690" max="7690" width="8.375" style="568" bestFit="1" customWidth="1"/>
    <col min="7691" max="7693" width="8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3" width="7.625" style="568" bestFit="1" customWidth="1"/>
    <col min="7944" max="7944" width="2.25" style="568" bestFit="1" customWidth="1"/>
    <col min="7945" max="7945" width="4.375" style="568" bestFit="1" customWidth="1"/>
    <col min="7946" max="7946" width="8.375" style="568" bestFit="1" customWidth="1"/>
    <col min="7947" max="7949" width="8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199" width="7.625" style="568" bestFit="1" customWidth="1"/>
    <col min="8200" max="8200" width="2.25" style="568" bestFit="1" customWidth="1"/>
    <col min="8201" max="8201" width="4.375" style="568" bestFit="1" customWidth="1"/>
    <col min="8202" max="8202" width="8.375" style="568" bestFit="1" customWidth="1"/>
    <col min="8203" max="8205" width="8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5" width="7.625" style="568" bestFit="1" customWidth="1"/>
    <col min="8456" max="8456" width="2.25" style="568" bestFit="1" customWidth="1"/>
    <col min="8457" max="8457" width="4.375" style="568" bestFit="1" customWidth="1"/>
    <col min="8458" max="8458" width="8.375" style="568" bestFit="1" customWidth="1"/>
    <col min="8459" max="8461" width="8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1" width="7.625" style="568" bestFit="1" customWidth="1"/>
    <col min="8712" max="8712" width="2.25" style="568" bestFit="1" customWidth="1"/>
    <col min="8713" max="8713" width="4.375" style="568" bestFit="1" customWidth="1"/>
    <col min="8714" max="8714" width="8.375" style="568" bestFit="1" customWidth="1"/>
    <col min="8715" max="8717" width="8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7" width="7.625" style="568" bestFit="1" customWidth="1"/>
    <col min="8968" max="8968" width="2.25" style="568" bestFit="1" customWidth="1"/>
    <col min="8969" max="8969" width="4.375" style="568" bestFit="1" customWidth="1"/>
    <col min="8970" max="8970" width="8.375" style="568" bestFit="1" customWidth="1"/>
    <col min="8971" max="8973" width="8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3" width="7.625" style="568" bestFit="1" customWidth="1"/>
    <col min="9224" max="9224" width="2.25" style="568" bestFit="1" customWidth="1"/>
    <col min="9225" max="9225" width="4.375" style="568" bestFit="1" customWidth="1"/>
    <col min="9226" max="9226" width="8.375" style="568" bestFit="1" customWidth="1"/>
    <col min="9227" max="9229" width="8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79" width="7.625" style="568" bestFit="1" customWidth="1"/>
    <col min="9480" max="9480" width="2.25" style="568" bestFit="1" customWidth="1"/>
    <col min="9481" max="9481" width="4.375" style="568" bestFit="1" customWidth="1"/>
    <col min="9482" max="9482" width="8.375" style="568" bestFit="1" customWidth="1"/>
    <col min="9483" max="9485" width="8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5" width="7.625" style="568" bestFit="1" customWidth="1"/>
    <col min="9736" max="9736" width="2.25" style="568" bestFit="1" customWidth="1"/>
    <col min="9737" max="9737" width="4.375" style="568" bestFit="1" customWidth="1"/>
    <col min="9738" max="9738" width="8.375" style="568" bestFit="1" customWidth="1"/>
    <col min="9739" max="9741" width="8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1" width="7.625" style="568" bestFit="1" customWidth="1"/>
    <col min="9992" max="9992" width="2.25" style="568" bestFit="1" customWidth="1"/>
    <col min="9993" max="9993" width="4.375" style="568" bestFit="1" customWidth="1"/>
    <col min="9994" max="9994" width="8.375" style="568" bestFit="1" customWidth="1"/>
    <col min="9995" max="9997" width="8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7" width="7.625" style="568" bestFit="1" customWidth="1"/>
    <col min="10248" max="10248" width="2.25" style="568" bestFit="1" customWidth="1"/>
    <col min="10249" max="10249" width="4.375" style="568" bestFit="1" customWidth="1"/>
    <col min="10250" max="10250" width="8.375" style="568" bestFit="1" customWidth="1"/>
    <col min="10251" max="10253" width="8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3" width="7.625" style="568" bestFit="1" customWidth="1"/>
    <col min="10504" max="10504" width="2.25" style="568" bestFit="1" customWidth="1"/>
    <col min="10505" max="10505" width="4.375" style="568" bestFit="1" customWidth="1"/>
    <col min="10506" max="10506" width="8.375" style="568" bestFit="1" customWidth="1"/>
    <col min="10507" max="10509" width="8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59" width="7.625" style="568" bestFit="1" customWidth="1"/>
    <col min="10760" max="10760" width="2.25" style="568" bestFit="1" customWidth="1"/>
    <col min="10761" max="10761" width="4.375" style="568" bestFit="1" customWidth="1"/>
    <col min="10762" max="10762" width="8.375" style="568" bestFit="1" customWidth="1"/>
    <col min="10763" max="10765" width="8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5" width="7.625" style="568" bestFit="1" customWidth="1"/>
    <col min="11016" max="11016" width="2.25" style="568" bestFit="1" customWidth="1"/>
    <col min="11017" max="11017" width="4.375" style="568" bestFit="1" customWidth="1"/>
    <col min="11018" max="11018" width="8.375" style="568" bestFit="1" customWidth="1"/>
    <col min="11019" max="11021" width="8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1" width="7.625" style="568" bestFit="1" customWidth="1"/>
    <col min="11272" max="11272" width="2.25" style="568" bestFit="1" customWidth="1"/>
    <col min="11273" max="11273" width="4.375" style="568" bestFit="1" customWidth="1"/>
    <col min="11274" max="11274" width="8.375" style="568" bestFit="1" customWidth="1"/>
    <col min="11275" max="11277" width="8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7" width="7.625" style="568" bestFit="1" customWidth="1"/>
    <col min="11528" max="11528" width="2.25" style="568" bestFit="1" customWidth="1"/>
    <col min="11529" max="11529" width="4.375" style="568" bestFit="1" customWidth="1"/>
    <col min="11530" max="11530" width="8.375" style="568" bestFit="1" customWidth="1"/>
    <col min="11531" max="11533" width="8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3" width="7.625" style="568" bestFit="1" customWidth="1"/>
    <col min="11784" max="11784" width="2.25" style="568" bestFit="1" customWidth="1"/>
    <col min="11785" max="11785" width="4.375" style="568" bestFit="1" customWidth="1"/>
    <col min="11786" max="11786" width="8.375" style="568" bestFit="1" customWidth="1"/>
    <col min="11787" max="11789" width="8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39" width="7.625" style="568" bestFit="1" customWidth="1"/>
    <col min="12040" max="12040" width="2.25" style="568" bestFit="1" customWidth="1"/>
    <col min="12041" max="12041" width="4.375" style="568" bestFit="1" customWidth="1"/>
    <col min="12042" max="12042" width="8.375" style="568" bestFit="1" customWidth="1"/>
    <col min="12043" max="12045" width="8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5" width="7.625" style="568" bestFit="1" customWidth="1"/>
    <col min="12296" max="12296" width="2.25" style="568" bestFit="1" customWidth="1"/>
    <col min="12297" max="12297" width="4.375" style="568" bestFit="1" customWidth="1"/>
    <col min="12298" max="12298" width="8.375" style="568" bestFit="1" customWidth="1"/>
    <col min="12299" max="12301" width="8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1" width="7.625" style="568" bestFit="1" customWidth="1"/>
    <col min="12552" max="12552" width="2.25" style="568" bestFit="1" customWidth="1"/>
    <col min="12553" max="12553" width="4.375" style="568" bestFit="1" customWidth="1"/>
    <col min="12554" max="12554" width="8.375" style="568" bestFit="1" customWidth="1"/>
    <col min="12555" max="12557" width="8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7" width="7.625" style="568" bestFit="1" customWidth="1"/>
    <col min="12808" max="12808" width="2.25" style="568" bestFit="1" customWidth="1"/>
    <col min="12809" max="12809" width="4.375" style="568" bestFit="1" customWidth="1"/>
    <col min="12810" max="12810" width="8.375" style="568" bestFit="1" customWidth="1"/>
    <col min="12811" max="12813" width="8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3" width="7.625" style="568" bestFit="1" customWidth="1"/>
    <col min="13064" max="13064" width="2.25" style="568" bestFit="1" customWidth="1"/>
    <col min="13065" max="13065" width="4.375" style="568" bestFit="1" customWidth="1"/>
    <col min="13066" max="13066" width="8.375" style="568" bestFit="1" customWidth="1"/>
    <col min="13067" max="13069" width="8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19" width="7.625" style="568" bestFit="1" customWidth="1"/>
    <col min="13320" max="13320" width="2.25" style="568" bestFit="1" customWidth="1"/>
    <col min="13321" max="13321" width="4.375" style="568" bestFit="1" customWidth="1"/>
    <col min="13322" max="13322" width="8.375" style="568" bestFit="1" customWidth="1"/>
    <col min="13323" max="13325" width="8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5" width="7.625" style="568" bestFit="1" customWidth="1"/>
    <col min="13576" max="13576" width="2.25" style="568" bestFit="1" customWidth="1"/>
    <col min="13577" max="13577" width="4.375" style="568" bestFit="1" customWidth="1"/>
    <col min="13578" max="13578" width="8.375" style="568" bestFit="1" customWidth="1"/>
    <col min="13579" max="13581" width="8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1" width="7.625" style="568" bestFit="1" customWidth="1"/>
    <col min="13832" max="13832" width="2.25" style="568" bestFit="1" customWidth="1"/>
    <col min="13833" max="13833" width="4.375" style="568" bestFit="1" customWidth="1"/>
    <col min="13834" max="13834" width="8.375" style="568" bestFit="1" customWidth="1"/>
    <col min="13835" max="13837" width="8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7" width="7.625" style="568" bestFit="1" customWidth="1"/>
    <col min="14088" max="14088" width="2.25" style="568" bestFit="1" customWidth="1"/>
    <col min="14089" max="14089" width="4.375" style="568" bestFit="1" customWidth="1"/>
    <col min="14090" max="14090" width="8.375" style="568" bestFit="1" customWidth="1"/>
    <col min="14091" max="14093" width="8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3" width="7.625" style="568" bestFit="1" customWidth="1"/>
    <col min="14344" max="14344" width="2.25" style="568" bestFit="1" customWidth="1"/>
    <col min="14345" max="14345" width="4.375" style="568" bestFit="1" customWidth="1"/>
    <col min="14346" max="14346" width="8.375" style="568" bestFit="1" customWidth="1"/>
    <col min="14347" max="14349" width="8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599" width="7.625" style="568" bestFit="1" customWidth="1"/>
    <col min="14600" max="14600" width="2.25" style="568" bestFit="1" customWidth="1"/>
    <col min="14601" max="14601" width="4.375" style="568" bestFit="1" customWidth="1"/>
    <col min="14602" max="14602" width="8.375" style="568" bestFit="1" customWidth="1"/>
    <col min="14603" max="14605" width="8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5" width="7.625" style="568" bestFit="1" customWidth="1"/>
    <col min="14856" max="14856" width="2.25" style="568" bestFit="1" customWidth="1"/>
    <col min="14857" max="14857" width="4.375" style="568" bestFit="1" customWidth="1"/>
    <col min="14858" max="14858" width="8.375" style="568" bestFit="1" customWidth="1"/>
    <col min="14859" max="14861" width="8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1" width="7.625" style="568" bestFit="1" customWidth="1"/>
    <col min="15112" max="15112" width="2.25" style="568" bestFit="1" customWidth="1"/>
    <col min="15113" max="15113" width="4.375" style="568" bestFit="1" customWidth="1"/>
    <col min="15114" max="15114" width="8.375" style="568" bestFit="1" customWidth="1"/>
    <col min="15115" max="15117" width="8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7" width="7.625" style="568" bestFit="1" customWidth="1"/>
    <col min="15368" max="15368" width="2.25" style="568" bestFit="1" customWidth="1"/>
    <col min="15369" max="15369" width="4.375" style="568" bestFit="1" customWidth="1"/>
    <col min="15370" max="15370" width="8.375" style="568" bestFit="1" customWidth="1"/>
    <col min="15371" max="15373" width="8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3" width="7.625" style="568" bestFit="1" customWidth="1"/>
    <col min="15624" max="15624" width="2.25" style="568" bestFit="1" customWidth="1"/>
    <col min="15625" max="15625" width="4.375" style="568" bestFit="1" customWidth="1"/>
    <col min="15626" max="15626" width="8.375" style="568" bestFit="1" customWidth="1"/>
    <col min="15627" max="15629" width="8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79" width="7.625" style="568" bestFit="1" customWidth="1"/>
    <col min="15880" max="15880" width="2.25" style="568" bestFit="1" customWidth="1"/>
    <col min="15881" max="15881" width="4.375" style="568" bestFit="1" customWidth="1"/>
    <col min="15882" max="15882" width="8.375" style="568" bestFit="1" customWidth="1"/>
    <col min="15883" max="15885" width="8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5" width="7.625" style="568" bestFit="1" customWidth="1"/>
    <col min="16136" max="16136" width="2.25" style="568" bestFit="1" customWidth="1"/>
    <col min="16137" max="16137" width="4.375" style="568" bestFit="1" customWidth="1"/>
    <col min="16138" max="16138" width="8.375" style="568" bestFit="1" customWidth="1"/>
    <col min="16139" max="16141" width="8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910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401</v>
      </c>
      <c r="J9" s="567" t="s">
        <v>327</v>
      </c>
      <c r="K9" s="567" t="s">
        <v>1002</v>
      </c>
      <c r="L9" s="567" t="s">
        <v>1003</v>
      </c>
      <c r="M9" s="567" t="s">
        <v>1004</v>
      </c>
      <c r="N9" s="567" t="s">
        <v>1011</v>
      </c>
      <c r="O9" s="567" t="s">
        <v>1012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0.17625000000000002</v>
      </c>
      <c r="E10" s="567">
        <v>121824</v>
      </c>
      <c r="F10" s="567" t="s">
        <v>1001</v>
      </c>
      <c r="G10" s="567" t="s">
        <v>326</v>
      </c>
      <c r="H10" s="567">
        <v>0</v>
      </c>
      <c r="I10" s="567">
        <v>401</v>
      </c>
      <c r="J10" s="567" t="s">
        <v>327</v>
      </c>
      <c r="K10" s="567" t="s">
        <v>1002</v>
      </c>
      <c r="L10" s="567" t="s">
        <v>1003</v>
      </c>
      <c r="M10" s="567" t="s">
        <v>1004</v>
      </c>
      <c r="N10" s="567" t="s">
        <v>1011</v>
      </c>
      <c r="O10" s="567" t="s">
        <v>1012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0.1875</v>
      </c>
      <c r="E11" s="567">
        <v>7776</v>
      </c>
      <c r="F11" s="567" t="s">
        <v>1001</v>
      </c>
      <c r="G11" s="567" t="s">
        <v>326</v>
      </c>
      <c r="H11" s="567">
        <v>0</v>
      </c>
      <c r="I11" s="567">
        <v>97</v>
      </c>
      <c r="J11" s="567" t="s">
        <v>327</v>
      </c>
      <c r="K11" s="567" t="s">
        <v>1002</v>
      </c>
      <c r="L11" s="567" t="s">
        <v>1003</v>
      </c>
      <c r="M11" s="567" t="s">
        <v>1004</v>
      </c>
      <c r="N11" s="567" t="s">
        <v>1011</v>
      </c>
      <c r="O11" s="567" t="s">
        <v>1012</v>
      </c>
      <c r="P11" s="567" t="s">
        <v>1007</v>
      </c>
      <c r="Q11" s="567" t="s">
        <v>1008</v>
      </c>
      <c r="R11" s="567">
        <v>80</v>
      </c>
    </row>
    <row r="12" spans="1:18" ht="15" x14ac:dyDescent="0.2">
      <c r="A12" s="567"/>
      <c r="B12" s="567"/>
      <c r="C12" s="567"/>
      <c r="D12" s="569">
        <v>0.30499999999999999</v>
      </c>
      <c r="E12" s="567">
        <v>81216</v>
      </c>
      <c r="F12" s="567" t="s">
        <v>1001</v>
      </c>
      <c r="G12" s="567" t="s">
        <v>326</v>
      </c>
      <c r="H12" s="567">
        <v>0</v>
      </c>
      <c r="I12" s="567">
        <v>97</v>
      </c>
      <c r="J12" s="567" t="s">
        <v>327</v>
      </c>
      <c r="K12" s="567" t="s">
        <v>1002</v>
      </c>
      <c r="L12" s="567" t="s">
        <v>1003</v>
      </c>
      <c r="M12" s="567" t="s">
        <v>1004</v>
      </c>
      <c r="N12" s="567" t="s">
        <v>1011</v>
      </c>
      <c r="O12" s="567" t="s">
        <v>1012</v>
      </c>
      <c r="P12" s="567" t="s">
        <v>1009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0.3125</v>
      </c>
      <c r="E13" s="567">
        <v>5184</v>
      </c>
      <c r="F13" s="567" t="s">
        <v>1001</v>
      </c>
      <c r="G13" s="567" t="s">
        <v>326</v>
      </c>
      <c r="H13" s="567">
        <v>0</v>
      </c>
      <c r="I13" s="567">
        <v>39</v>
      </c>
      <c r="J13" s="567" t="s">
        <v>327</v>
      </c>
      <c r="K13" s="567" t="s">
        <v>1002</v>
      </c>
      <c r="L13" s="567" t="s">
        <v>1003</v>
      </c>
      <c r="M13" s="567" t="s">
        <v>1004</v>
      </c>
      <c r="N13" s="567" t="s">
        <v>1011</v>
      </c>
      <c r="O13" s="567" t="s">
        <v>1012</v>
      </c>
      <c r="P13" s="567" t="s">
        <v>1007</v>
      </c>
      <c r="Q13" s="567" t="s">
        <v>1008</v>
      </c>
      <c r="R13" s="567">
        <v>80</v>
      </c>
    </row>
    <row r="14" spans="1:18" ht="15" x14ac:dyDescent="0.2">
      <c r="A14" s="567"/>
      <c r="B14" s="567"/>
      <c r="C14" s="567"/>
      <c r="D14" s="569">
        <v>0.35166666666666663</v>
      </c>
      <c r="E14" s="567">
        <v>27072</v>
      </c>
      <c r="F14" s="567" t="s">
        <v>1001</v>
      </c>
      <c r="G14" s="567" t="s">
        <v>326</v>
      </c>
      <c r="H14" s="567">
        <v>0</v>
      </c>
      <c r="I14" s="567">
        <v>39</v>
      </c>
      <c r="J14" s="567" t="s">
        <v>327</v>
      </c>
      <c r="K14" s="567" t="s">
        <v>1002</v>
      </c>
      <c r="L14" s="567" t="s">
        <v>1003</v>
      </c>
      <c r="M14" s="567" t="s">
        <v>1004</v>
      </c>
      <c r="N14" s="567" t="s">
        <v>1011</v>
      </c>
      <c r="O14" s="567" t="s">
        <v>1012</v>
      </c>
      <c r="P14" s="567" t="s">
        <v>1009</v>
      </c>
      <c r="Q14" s="567" t="s">
        <v>1008</v>
      </c>
      <c r="R14" s="567">
        <v>80</v>
      </c>
    </row>
    <row r="15" spans="1:18" ht="15" x14ac:dyDescent="0.2">
      <c r="A15" s="567"/>
      <c r="B15" s="567"/>
      <c r="C15" s="567"/>
      <c r="D15" s="569">
        <v>0.35416666666666669</v>
      </c>
      <c r="E15" s="567">
        <v>1728</v>
      </c>
      <c r="F15" s="567" t="s">
        <v>1001</v>
      </c>
      <c r="G15" s="567" t="s">
        <v>326</v>
      </c>
      <c r="H15" s="567">
        <v>0</v>
      </c>
      <c r="I15" s="567">
        <v>97</v>
      </c>
      <c r="J15" s="567" t="s">
        <v>1010</v>
      </c>
      <c r="K15" s="567" t="s">
        <v>1002</v>
      </c>
      <c r="L15" s="567" t="s">
        <v>1003</v>
      </c>
      <c r="M15" s="567" t="s">
        <v>1004</v>
      </c>
      <c r="N15" s="567" t="s">
        <v>1005</v>
      </c>
      <c r="O15" s="567" t="s">
        <v>1006</v>
      </c>
      <c r="P15" s="567" t="s">
        <v>1007</v>
      </c>
      <c r="Q15" s="567" t="s">
        <v>1008</v>
      </c>
      <c r="R15" s="567">
        <v>80</v>
      </c>
    </row>
    <row r="16" spans="1:18" ht="15" x14ac:dyDescent="0.2">
      <c r="A16" s="567"/>
      <c r="B16" s="567"/>
      <c r="C16" s="567"/>
      <c r="D16" s="569">
        <v>0.4808101851851852</v>
      </c>
      <c r="E16" s="567">
        <v>87536</v>
      </c>
      <c r="F16" s="567" t="s">
        <v>1001</v>
      </c>
      <c r="G16" s="567" t="s">
        <v>326</v>
      </c>
      <c r="H16" s="567">
        <v>0</v>
      </c>
      <c r="I16" s="567">
        <v>97</v>
      </c>
      <c r="J16" s="567" t="s">
        <v>1010</v>
      </c>
      <c r="K16" s="567" t="s">
        <v>1002</v>
      </c>
      <c r="L16" s="567" t="s">
        <v>1003</v>
      </c>
      <c r="M16" s="567" t="s">
        <v>1004</v>
      </c>
      <c r="N16" s="567" t="s">
        <v>1005</v>
      </c>
      <c r="O16" s="567" t="s">
        <v>1006</v>
      </c>
      <c r="P16" s="567" t="s">
        <v>1009</v>
      </c>
      <c r="Q16" s="567" t="s">
        <v>1008</v>
      </c>
      <c r="R16" s="567">
        <v>80</v>
      </c>
    </row>
    <row r="17" spans="1:6" ht="15" x14ac:dyDescent="0.2">
      <c r="A17" s="567"/>
      <c r="B17" s="567"/>
      <c r="C17" s="567"/>
      <c r="D17" s="569">
        <v>0.4808101851851852</v>
      </c>
      <c r="E17" s="567">
        <v>0</v>
      </c>
      <c r="F17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6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8" width="7.625" style="568" bestFit="1" customWidth="1"/>
    <col min="9" max="9" width="5" style="568" bestFit="1" customWidth="1"/>
    <col min="10" max="10" width="8.375" style="568" bestFit="1" customWidth="1"/>
    <col min="11" max="11" width="18.75" style="568" bestFit="1" customWidth="1"/>
    <col min="12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4" width="7.625" style="568" bestFit="1" customWidth="1"/>
    <col min="265" max="265" width="5" style="568" bestFit="1" customWidth="1"/>
    <col min="266" max="266" width="8.375" style="568" bestFit="1" customWidth="1"/>
    <col min="267" max="267" width="18.75" style="568" bestFit="1" customWidth="1"/>
    <col min="268" max="269" width="8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20" width="7.625" style="568" bestFit="1" customWidth="1"/>
    <col min="521" max="521" width="5" style="568" bestFit="1" customWidth="1"/>
    <col min="522" max="522" width="8.375" style="568" bestFit="1" customWidth="1"/>
    <col min="523" max="523" width="18.75" style="568" bestFit="1" customWidth="1"/>
    <col min="524" max="525" width="8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6" width="7.625" style="568" bestFit="1" customWidth="1"/>
    <col min="777" max="777" width="5" style="568" bestFit="1" customWidth="1"/>
    <col min="778" max="778" width="8.375" style="568" bestFit="1" customWidth="1"/>
    <col min="779" max="779" width="18.75" style="568" bestFit="1" customWidth="1"/>
    <col min="780" max="781" width="8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2" width="7.625" style="568" bestFit="1" customWidth="1"/>
    <col min="1033" max="1033" width="5" style="568" bestFit="1" customWidth="1"/>
    <col min="1034" max="1034" width="8.375" style="568" bestFit="1" customWidth="1"/>
    <col min="1035" max="1035" width="18.75" style="568" bestFit="1" customWidth="1"/>
    <col min="1036" max="1037" width="8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8" width="7.625" style="568" bestFit="1" customWidth="1"/>
    <col min="1289" max="1289" width="5" style="568" bestFit="1" customWidth="1"/>
    <col min="1290" max="1290" width="8.375" style="568" bestFit="1" customWidth="1"/>
    <col min="1291" max="1291" width="18.75" style="568" bestFit="1" customWidth="1"/>
    <col min="1292" max="1293" width="8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4" width="7.625" style="568" bestFit="1" customWidth="1"/>
    <col min="1545" max="1545" width="5" style="568" bestFit="1" customWidth="1"/>
    <col min="1546" max="1546" width="8.375" style="568" bestFit="1" customWidth="1"/>
    <col min="1547" max="1547" width="18.75" style="568" bestFit="1" customWidth="1"/>
    <col min="1548" max="1549" width="8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800" width="7.625" style="568" bestFit="1" customWidth="1"/>
    <col min="1801" max="1801" width="5" style="568" bestFit="1" customWidth="1"/>
    <col min="1802" max="1802" width="8.375" style="568" bestFit="1" customWidth="1"/>
    <col min="1803" max="1803" width="18.75" style="568" bestFit="1" customWidth="1"/>
    <col min="1804" max="1805" width="8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6" width="7.625" style="568" bestFit="1" customWidth="1"/>
    <col min="2057" max="2057" width="5" style="568" bestFit="1" customWidth="1"/>
    <col min="2058" max="2058" width="8.375" style="568" bestFit="1" customWidth="1"/>
    <col min="2059" max="2059" width="18.75" style="568" bestFit="1" customWidth="1"/>
    <col min="2060" max="2061" width="8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2" width="7.625" style="568" bestFit="1" customWidth="1"/>
    <col min="2313" max="2313" width="5" style="568" bestFit="1" customWidth="1"/>
    <col min="2314" max="2314" width="8.375" style="568" bestFit="1" customWidth="1"/>
    <col min="2315" max="2315" width="18.75" style="568" bestFit="1" customWidth="1"/>
    <col min="2316" max="2317" width="8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8" width="7.625" style="568" bestFit="1" customWidth="1"/>
    <col min="2569" max="2569" width="5" style="568" bestFit="1" customWidth="1"/>
    <col min="2570" max="2570" width="8.375" style="568" bestFit="1" customWidth="1"/>
    <col min="2571" max="2571" width="18.75" style="568" bestFit="1" customWidth="1"/>
    <col min="2572" max="2573" width="8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4" width="7.625" style="568" bestFit="1" customWidth="1"/>
    <col min="2825" max="2825" width="5" style="568" bestFit="1" customWidth="1"/>
    <col min="2826" max="2826" width="8.375" style="568" bestFit="1" customWidth="1"/>
    <col min="2827" max="2827" width="18.75" style="568" bestFit="1" customWidth="1"/>
    <col min="2828" max="2829" width="8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80" width="7.625" style="568" bestFit="1" customWidth="1"/>
    <col min="3081" max="3081" width="5" style="568" bestFit="1" customWidth="1"/>
    <col min="3082" max="3082" width="8.375" style="568" bestFit="1" customWidth="1"/>
    <col min="3083" max="3083" width="18.75" style="568" bestFit="1" customWidth="1"/>
    <col min="3084" max="3085" width="8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6" width="7.625" style="568" bestFit="1" customWidth="1"/>
    <col min="3337" max="3337" width="5" style="568" bestFit="1" customWidth="1"/>
    <col min="3338" max="3338" width="8.375" style="568" bestFit="1" customWidth="1"/>
    <col min="3339" max="3339" width="18.75" style="568" bestFit="1" customWidth="1"/>
    <col min="3340" max="3341" width="8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2" width="7.625" style="568" bestFit="1" customWidth="1"/>
    <col min="3593" max="3593" width="5" style="568" bestFit="1" customWidth="1"/>
    <col min="3594" max="3594" width="8.375" style="568" bestFit="1" customWidth="1"/>
    <col min="3595" max="3595" width="18.75" style="568" bestFit="1" customWidth="1"/>
    <col min="3596" max="3597" width="8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8" width="7.625" style="568" bestFit="1" customWidth="1"/>
    <col min="3849" max="3849" width="5" style="568" bestFit="1" customWidth="1"/>
    <col min="3850" max="3850" width="8.375" style="568" bestFit="1" customWidth="1"/>
    <col min="3851" max="3851" width="18.75" style="568" bestFit="1" customWidth="1"/>
    <col min="3852" max="3853" width="8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4" width="7.625" style="568" bestFit="1" customWidth="1"/>
    <col min="4105" max="4105" width="5" style="568" bestFit="1" customWidth="1"/>
    <col min="4106" max="4106" width="8.375" style="568" bestFit="1" customWidth="1"/>
    <col min="4107" max="4107" width="18.75" style="568" bestFit="1" customWidth="1"/>
    <col min="4108" max="4109" width="8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60" width="7.625" style="568" bestFit="1" customWidth="1"/>
    <col min="4361" max="4361" width="5" style="568" bestFit="1" customWidth="1"/>
    <col min="4362" max="4362" width="8.375" style="568" bestFit="1" customWidth="1"/>
    <col min="4363" max="4363" width="18.75" style="568" bestFit="1" customWidth="1"/>
    <col min="4364" max="4365" width="8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6" width="7.625" style="568" bestFit="1" customWidth="1"/>
    <col min="4617" max="4617" width="5" style="568" bestFit="1" customWidth="1"/>
    <col min="4618" max="4618" width="8.375" style="568" bestFit="1" customWidth="1"/>
    <col min="4619" max="4619" width="18.75" style="568" bestFit="1" customWidth="1"/>
    <col min="4620" max="4621" width="8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2" width="7.625" style="568" bestFit="1" customWidth="1"/>
    <col min="4873" max="4873" width="5" style="568" bestFit="1" customWidth="1"/>
    <col min="4874" max="4874" width="8.375" style="568" bestFit="1" customWidth="1"/>
    <col min="4875" max="4875" width="18.75" style="568" bestFit="1" customWidth="1"/>
    <col min="4876" max="4877" width="8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8" width="7.625" style="568" bestFit="1" customWidth="1"/>
    <col min="5129" max="5129" width="5" style="568" bestFit="1" customWidth="1"/>
    <col min="5130" max="5130" width="8.375" style="568" bestFit="1" customWidth="1"/>
    <col min="5131" max="5131" width="18.75" style="568" bestFit="1" customWidth="1"/>
    <col min="5132" max="5133" width="8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4" width="7.625" style="568" bestFit="1" customWidth="1"/>
    <col min="5385" max="5385" width="5" style="568" bestFit="1" customWidth="1"/>
    <col min="5386" max="5386" width="8.375" style="568" bestFit="1" customWidth="1"/>
    <col min="5387" max="5387" width="18.75" style="568" bestFit="1" customWidth="1"/>
    <col min="5388" max="5389" width="8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40" width="7.625" style="568" bestFit="1" customWidth="1"/>
    <col min="5641" max="5641" width="5" style="568" bestFit="1" customWidth="1"/>
    <col min="5642" max="5642" width="8.375" style="568" bestFit="1" customWidth="1"/>
    <col min="5643" max="5643" width="18.75" style="568" bestFit="1" customWidth="1"/>
    <col min="5644" max="5645" width="8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6" width="7.625" style="568" bestFit="1" customWidth="1"/>
    <col min="5897" max="5897" width="5" style="568" bestFit="1" customWidth="1"/>
    <col min="5898" max="5898" width="8.375" style="568" bestFit="1" customWidth="1"/>
    <col min="5899" max="5899" width="18.75" style="568" bestFit="1" customWidth="1"/>
    <col min="5900" max="5901" width="8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2" width="7.625" style="568" bestFit="1" customWidth="1"/>
    <col min="6153" max="6153" width="5" style="568" bestFit="1" customWidth="1"/>
    <col min="6154" max="6154" width="8.375" style="568" bestFit="1" customWidth="1"/>
    <col min="6155" max="6155" width="18.75" style="568" bestFit="1" customWidth="1"/>
    <col min="6156" max="6157" width="8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8" width="7.625" style="568" bestFit="1" customWidth="1"/>
    <col min="6409" max="6409" width="5" style="568" bestFit="1" customWidth="1"/>
    <col min="6410" max="6410" width="8.375" style="568" bestFit="1" customWidth="1"/>
    <col min="6411" max="6411" width="18.75" style="568" bestFit="1" customWidth="1"/>
    <col min="6412" max="6413" width="8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4" width="7.625" style="568" bestFit="1" customWidth="1"/>
    <col min="6665" max="6665" width="5" style="568" bestFit="1" customWidth="1"/>
    <col min="6666" max="6666" width="8.375" style="568" bestFit="1" customWidth="1"/>
    <col min="6667" max="6667" width="18.75" style="568" bestFit="1" customWidth="1"/>
    <col min="6668" max="6669" width="8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20" width="7.625" style="568" bestFit="1" customWidth="1"/>
    <col min="6921" max="6921" width="5" style="568" bestFit="1" customWidth="1"/>
    <col min="6922" max="6922" width="8.375" style="568" bestFit="1" customWidth="1"/>
    <col min="6923" max="6923" width="18.75" style="568" bestFit="1" customWidth="1"/>
    <col min="6924" max="6925" width="8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6" width="7.625" style="568" bestFit="1" customWidth="1"/>
    <col min="7177" max="7177" width="5" style="568" bestFit="1" customWidth="1"/>
    <col min="7178" max="7178" width="8.375" style="568" bestFit="1" customWidth="1"/>
    <col min="7179" max="7179" width="18.75" style="568" bestFit="1" customWidth="1"/>
    <col min="7180" max="7181" width="8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2" width="7.625" style="568" bestFit="1" customWidth="1"/>
    <col min="7433" max="7433" width="5" style="568" bestFit="1" customWidth="1"/>
    <col min="7434" max="7434" width="8.375" style="568" bestFit="1" customWidth="1"/>
    <col min="7435" max="7435" width="18.75" style="568" bestFit="1" customWidth="1"/>
    <col min="7436" max="7437" width="8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8" width="7.625" style="568" bestFit="1" customWidth="1"/>
    <col min="7689" max="7689" width="5" style="568" bestFit="1" customWidth="1"/>
    <col min="7690" max="7690" width="8.375" style="568" bestFit="1" customWidth="1"/>
    <col min="7691" max="7691" width="18.75" style="568" bestFit="1" customWidth="1"/>
    <col min="7692" max="7693" width="8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4" width="7.625" style="568" bestFit="1" customWidth="1"/>
    <col min="7945" max="7945" width="5" style="568" bestFit="1" customWidth="1"/>
    <col min="7946" max="7946" width="8.375" style="568" bestFit="1" customWidth="1"/>
    <col min="7947" max="7947" width="18.75" style="568" bestFit="1" customWidth="1"/>
    <col min="7948" max="7949" width="8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200" width="7.625" style="568" bestFit="1" customWidth="1"/>
    <col min="8201" max="8201" width="5" style="568" bestFit="1" customWidth="1"/>
    <col min="8202" max="8202" width="8.375" style="568" bestFit="1" customWidth="1"/>
    <col min="8203" max="8203" width="18.75" style="568" bestFit="1" customWidth="1"/>
    <col min="8204" max="8205" width="8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6" width="7.625" style="568" bestFit="1" customWidth="1"/>
    <col min="8457" max="8457" width="5" style="568" bestFit="1" customWidth="1"/>
    <col min="8458" max="8458" width="8.375" style="568" bestFit="1" customWidth="1"/>
    <col min="8459" max="8459" width="18.75" style="568" bestFit="1" customWidth="1"/>
    <col min="8460" max="8461" width="8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2" width="7.625" style="568" bestFit="1" customWidth="1"/>
    <col min="8713" max="8713" width="5" style="568" bestFit="1" customWidth="1"/>
    <col min="8714" max="8714" width="8.375" style="568" bestFit="1" customWidth="1"/>
    <col min="8715" max="8715" width="18.75" style="568" bestFit="1" customWidth="1"/>
    <col min="8716" max="8717" width="8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8" width="7.625" style="568" bestFit="1" customWidth="1"/>
    <col min="8969" max="8969" width="5" style="568" bestFit="1" customWidth="1"/>
    <col min="8970" max="8970" width="8.375" style="568" bestFit="1" customWidth="1"/>
    <col min="8971" max="8971" width="18.75" style="568" bestFit="1" customWidth="1"/>
    <col min="8972" max="8973" width="8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4" width="7.625" style="568" bestFit="1" customWidth="1"/>
    <col min="9225" max="9225" width="5" style="568" bestFit="1" customWidth="1"/>
    <col min="9226" max="9226" width="8.375" style="568" bestFit="1" customWidth="1"/>
    <col min="9227" max="9227" width="18.75" style="568" bestFit="1" customWidth="1"/>
    <col min="9228" max="9229" width="8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80" width="7.625" style="568" bestFit="1" customWidth="1"/>
    <col min="9481" max="9481" width="5" style="568" bestFit="1" customWidth="1"/>
    <col min="9482" max="9482" width="8.375" style="568" bestFit="1" customWidth="1"/>
    <col min="9483" max="9483" width="18.75" style="568" bestFit="1" customWidth="1"/>
    <col min="9484" max="9485" width="8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6" width="7.625" style="568" bestFit="1" customWidth="1"/>
    <col min="9737" max="9737" width="5" style="568" bestFit="1" customWidth="1"/>
    <col min="9738" max="9738" width="8.375" style="568" bestFit="1" customWidth="1"/>
    <col min="9739" max="9739" width="18.75" style="568" bestFit="1" customWidth="1"/>
    <col min="9740" max="9741" width="8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2" width="7.625" style="568" bestFit="1" customWidth="1"/>
    <col min="9993" max="9993" width="5" style="568" bestFit="1" customWidth="1"/>
    <col min="9994" max="9994" width="8.375" style="568" bestFit="1" customWidth="1"/>
    <col min="9995" max="9995" width="18.75" style="568" bestFit="1" customWidth="1"/>
    <col min="9996" max="9997" width="8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8" width="7.625" style="568" bestFit="1" customWidth="1"/>
    <col min="10249" max="10249" width="5" style="568" bestFit="1" customWidth="1"/>
    <col min="10250" max="10250" width="8.375" style="568" bestFit="1" customWidth="1"/>
    <col min="10251" max="10251" width="18.75" style="568" bestFit="1" customWidth="1"/>
    <col min="10252" max="10253" width="8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4" width="7.625" style="568" bestFit="1" customWidth="1"/>
    <col min="10505" max="10505" width="5" style="568" bestFit="1" customWidth="1"/>
    <col min="10506" max="10506" width="8.375" style="568" bestFit="1" customWidth="1"/>
    <col min="10507" max="10507" width="18.75" style="568" bestFit="1" customWidth="1"/>
    <col min="10508" max="10509" width="8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60" width="7.625" style="568" bestFit="1" customWidth="1"/>
    <col min="10761" max="10761" width="5" style="568" bestFit="1" customWidth="1"/>
    <col min="10762" max="10762" width="8.375" style="568" bestFit="1" customWidth="1"/>
    <col min="10763" max="10763" width="18.75" style="568" bestFit="1" customWidth="1"/>
    <col min="10764" max="10765" width="8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6" width="7.625" style="568" bestFit="1" customWidth="1"/>
    <col min="11017" max="11017" width="5" style="568" bestFit="1" customWidth="1"/>
    <col min="11018" max="11018" width="8.375" style="568" bestFit="1" customWidth="1"/>
    <col min="11019" max="11019" width="18.75" style="568" bestFit="1" customWidth="1"/>
    <col min="11020" max="11021" width="8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2" width="7.625" style="568" bestFit="1" customWidth="1"/>
    <col min="11273" max="11273" width="5" style="568" bestFit="1" customWidth="1"/>
    <col min="11274" max="11274" width="8.375" style="568" bestFit="1" customWidth="1"/>
    <col min="11275" max="11275" width="18.75" style="568" bestFit="1" customWidth="1"/>
    <col min="11276" max="11277" width="8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8" width="7.625" style="568" bestFit="1" customWidth="1"/>
    <col min="11529" max="11529" width="5" style="568" bestFit="1" customWidth="1"/>
    <col min="11530" max="11530" width="8.375" style="568" bestFit="1" customWidth="1"/>
    <col min="11531" max="11531" width="18.75" style="568" bestFit="1" customWidth="1"/>
    <col min="11532" max="11533" width="8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4" width="7.625" style="568" bestFit="1" customWidth="1"/>
    <col min="11785" max="11785" width="5" style="568" bestFit="1" customWidth="1"/>
    <col min="11786" max="11786" width="8.375" style="568" bestFit="1" customWidth="1"/>
    <col min="11787" max="11787" width="18.75" style="568" bestFit="1" customWidth="1"/>
    <col min="11788" max="11789" width="8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40" width="7.625" style="568" bestFit="1" customWidth="1"/>
    <col min="12041" max="12041" width="5" style="568" bestFit="1" customWidth="1"/>
    <col min="12042" max="12042" width="8.375" style="568" bestFit="1" customWidth="1"/>
    <col min="12043" max="12043" width="18.75" style="568" bestFit="1" customWidth="1"/>
    <col min="12044" max="12045" width="8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6" width="7.625" style="568" bestFit="1" customWidth="1"/>
    <col min="12297" max="12297" width="5" style="568" bestFit="1" customWidth="1"/>
    <col min="12298" max="12298" width="8.375" style="568" bestFit="1" customWidth="1"/>
    <col min="12299" max="12299" width="18.75" style="568" bestFit="1" customWidth="1"/>
    <col min="12300" max="12301" width="8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2" width="7.625" style="568" bestFit="1" customWidth="1"/>
    <col min="12553" max="12553" width="5" style="568" bestFit="1" customWidth="1"/>
    <col min="12554" max="12554" width="8.375" style="568" bestFit="1" customWidth="1"/>
    <col min="12555" max="12555" width="18.75" style="568" bestFit="1" customWidth="1"/>
    <col min="12556" max="12557" width="8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8" width="7.625" style="568" bestFit="1" customWidth="1"/>
    <col min="12809" max="12809" width="5" style="568" bestFit="1" customWidth="1"/>
    <col min="12810" max="12810" width="8.375" style="568" bestFit="1" customWidth="1"/>
    <col min="12811" max="12811" width="18.75" style="568" bestFit="1" customWidth="1"/>
    <col min="12812" max="12813" width="8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4" width="7.625" style="568" bestFit="1" customWidth="1"/>
    <col min="13065" max="13065" width="5" style="568" bestFit="1" customWidth="1"/>
    <col min="13066" max="13066" width="8.375" style="568" bestFit="1" customWidth="1"/>
    <col min="13067" max="13067" width="18.75" style="568" bestFit="1" customWidth="1"/>
    <col min="13068" max="13069" width="8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20" width="7.625" style="568" bestFit="1" customWidth="1"/>
    <col min="13321" max="13321" width="5" style="568" bestFit="1" customWidth="1"/>
    <col min="13322" max="13322" width="8.375" style="568" bestFit="1" customWidth="1"/>
    <col min="13323" max="13323" width="18.75" style="568" bestFit="1" customWidth="1"/>
    <col min="13324" max="13325" width="8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6" width="7.625" style="568" bestFit="1" customWidth="1"/>
    <col min="13577" max="13577" width="5" style="568" bestFit="1" customWidth="1"/>
    <col min="13578" max="13578" width="8.375" style="568" bestFit="1" customWidth="1"/>
    <col min="13579" max="13579" width="18.75" style="568" bestFit="1" customWidth="1"/>
    <col min="13580" max="13581" width="8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2" width="7.625" style="568" bestFit="1" customWidth="1"/>
    <col min="13833" max="13833" width="5" style="568" bestFit="1" customWidth="1"/>
    <col min="13834" max="13834" width="8.375" style="568" bestFit="1" customWidth="1"/>
    <col min="13835" max="13835" width="18.75" style="568" bestFit="1" customWidth="1"/>
    <col min="13836" max="13837" width="8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8" width="7.625" style="568" bestFit="1" customWidth="1"/>
    <col min="14089" max="14089" width="5" style="568" bestFit="1" customWidth="1"/>
    <col min="14090" max="14090" width="8.375" style="568" bestFit="1" customWidth="1"/>
    <col min="14091" max="14091" width="18.75" style="568" bestFit="1" customWidth="1"/>
    <col min="14092" max="14093" width="8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4" width="7.625" style="568" bestFit="1" customWidth="1"/>
    <col min="14345" max="14345" width="5" style="568" bestFit="1" customWidth="1"/>
    <col min="14346" max="14346" width="8.375" style="568" bestFit="1" customWidth="1"/>
    <col min="14347" max="14347" width="18.75" style="568" bestFit="1" customWidth="1"/>
    <col min="14348" max="14349" width="8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600" width="7.625" style="568" bestFit="1" customWidth="1"/>
    <col min="14601" max="14601" width="5" style="568" bestFit="1" customWidth="1"/>
    <col min="14602" max="14602" width="8.375" style="568" bestFit="1" customWidth="1"/>
    <col min="14603" max="14603" width="18.75" style="568" bestFit="1" customWidth="1"/>
    <col min="14604" max="14605" width="8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6" width="7.625" style="568" bestFit="1" customWidth="1"/>
    <col min="14857" max="14857" width="5" style="568" bestFit="1" customWidth="1"/>
    <col min="14858" max="14858" width="8.375" style="568" bestFit="1" customWidth="1"/>
    <col min="14859" max="14859" width="18.75" style="568" bestFit="1" customWidth="1"/>
    <col min="14860" max="14861" width="8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2" width="7.625" style="568" bestFit="1" customWidth="1"/>
    <col min="15113" max="15113" width="5" style="568" bestFit="1" customWidth="1"/>
    <col min="15114" max="15114" width="8.375" style="568" bestFit="1" customWidth="1"/>
    <col min="15115" max="15115" width="18.75" style="568" bestFit="1" customWidth="1"/>
    <col min="15116" max="15117" width="8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8" width="7.625" style="568" bestFit="1" customWidth="1"/>
    <col min="15369" max="15369" width="5" style="568" bestFit="1" customWidth="1"/>
    <col min="15370" max="15370" width="8.375" style="568" bestFit="1" customWidth="1"/>
    <col min="15371" max="15371" width="18.75" style="568" bestFit="1" customWidth="1"/>
    <col min="15372" max="15373" width="8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4" width="7.625" style="568" bestFit="1" customWidth="1"/>
    <col min="15625" max="15625" width="5" style="568" bestFit="1" customWidth="1"/>
    <col min="15626" max="15626" width="8.375" style="568" bestFit="1" customWidth="1"/>
    <col min="15627" max="15627" width="18.75" style="568" bestFit="1" customWidth="1"/>
    <col min="15628" max="15629" width="8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80" width="7.625" style="568" bestFit="1" customWidth="1"/>
    <col min="15881" max="15881" width="5" style="568" bestFit="1" customWidth="1"/>
    <col min="15882" max="15882" width="8.375" style="568" bestFit="1" customWidth="1"/>
    <col min="15883" max="15883" width="18.75" style="568" bestFit="1" customWidth="1"/>
    <col min="15884" max="15885" width="8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6" width="7.625" style="568" bestFit="1" customWidth="1"/>
    <col min="16137" max="16137" width="5" style="568" bestFit="1" customWidth="1"/>
    <col min="16138" max="16138" width="8.375" style="568" bestFit="1" customWidth="1"/>
    <col min="16139" max="16139" width="18.75" style="568" bestFit="1" customWidth="1"/>
    <col min="16140" max="16141" width="8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913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401</v>
      </c>
      <c r="J9" s="567" t="s">
        <v>327</v>
      </c>
      <c r="K9" s="567" t="s">
        <v>1002</v>
      </c>
      <c r="L9" s="567" t="s">
        <v>1003</v>
      </c>
      <c r="M9" s="567" t="s">
        <v>1004</v>
      </c>
      <c r="N9" s="567" t="s">
        <v>1011</v>
      </c>
      <c r="O9" s="567" t="s">
        <v>1012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0.17755787037037038</v>
      </c>
      <c r="E10" s="567">
        <v>122728</v>
      </c>
      <c r="F10" s="567" t="s">
        <v>1001</v>
      </c>
      <c r="G10" s="567" t="s">
        <v>326</v>
      </c>
      <c r="H10" s="567">
        <v>0</v>
      </c>
      <c r="I10" s="567">
        <v>401</v>
      </c>
      <c r="J10" s="567" t="s">
        <v>327</v>
      </c>
      <c r="K10" s="567" t="s">
        <v>1002</v>
      </c>
      <c r="L10" s="567" t="s">
        <v>1003</v>
      </c>
      <c r="M10" s="567" t="s">
        <v>1004</v>
      </c>
      <c r="N10" s="567" t="s">
        <v>1011</v>
      </c>
      <c r="O10" s="567" t="s">
        <v>1012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0.18888888888888888</v>
      </c>
      <c r="E11" s="567">
        <v>7832</v>
      </c>
      <c r="F11" s="567" t="s">
        <v>335</v>
      </c>
      <c r="G11" s="567">
        <v>0</v>
      </c>
      <c r="H11" s="567" t="s">
        <v>326</v>
      </c>
      <c r="I11" s="567" t="s">
        <v>336</v>
      </c>
      <c r="J11" s="567">
        <v>0</v>
      </c>
      <c r="K11" s="567" t="s">
        <v>337</v>
      </c>
      <c r="L11" s="567">
        <v>45</v>
      </c>
      <c r="M11" s="567">
        <v>1</v>
      </c>
    </row>
    <row r="12" spans="1:18" ht="15" x14ac:dyDescent="0.2">
      <c r="A12" s="567"/>
      <c r="B12" s="567"/>
      <c r="C12" s="567"/>
      <c r="D12" s="569">
        <v>0.19236111111111112</v>
      </c>
      <c r="E12" s="567">
        <v>0</v>
      </c>
      <c r="F12" s="567" t="s">
        <v>1001</v>
      </c>
      <c r="G12" s="567" t="s">
        <v>326</v>
      </c>
      <c r="H12" s="567">
        <v>0</v>
      </c>
      <c r="I12" s="567">
        <v>97</v>
      </c>
      <c r="J12" s="567" t="s">
        <v>1010</v>
      </c>
      <c r="K12" s="567" t="s">
        <v>1002</v>
      </c>
      <c r="L12" s="567" t="s">
        <v>1003</v>
      </c>
      <c r="M12" s="567" t="s">
        <v>1004</v>
      </c>
      <c r="N12" s="567" t="s">
        <v>1011</v>
      </c>
      <c r="O12" s="567" t="s">
        <v>1012</v>
      </c>
      <c r="P12" s="567" t="s">
        <v>1007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0.30986111111111109</v>
      </c>
      <c r="E13" s="567">
        <v>81216</v>
      </c>
      <c r="F13" s="567" t="s">
        <v>1001</v>
      </c>
      <c r="G13" s="567" t="s">
        <v>326</v>
      </c>
      <c r="H13" s="567">
        <v>0</v>
      </c>
      <c r="I13" s="567">
        <v>97</v>
      </c>
      <c r="J13" s="567" t="s">
        <v>1010</v>
      </c>
      <c r="K13" s="567" t="s">
        <v>1002</v>
      </c>
      <c r="L13" s="567" t="s">
        <v>1003</v>
      </c>
      <c r="M13" s="567" t="s">
        <v>1004</v>
      </c>
      <c r="N13" s="567" t="s">
        <v>1011</v>
      </c>
      <c r="O13" s="567" t="s">
        <v>1012</v>
      </c>
      <c r="P13" s="567" t="s">
        <v>1009</v>
      </c>
      <c r="Q13" s="567" t="s">
        <v>1008</v>
      </c>
      <c r="R13" s="567">
        <v>80</v>
      </c>
    </row>
    <row r="14" spans="1:18" ht="15" x14ac:dyDescent="0.2">
      <c r="A14" s="567"/>
      <c r="B14" s="567"/>
      <c r="C14" s="567"/>
      <c r="D14" s="569">
        <v>0.31736111111111115</v>
      </c>
      <c r="E14" s="567">
        <v>5184</v>
      </c>
      <c r="F14" s="567" t="s">
        <v>1001</v>
      </c>
      <c r="G14" s="567" t="s">
        <v>326</v>
      </c>
      <c r="H14" s="567">
        <v>0</v>
      </c>
      <c r="I14" s="567">
        <v>39</v>
      </c>
      <c r="J14" s="567" t="s">
        <v>327</v>
      </c>
      <c r="K14" s="567" t="s">
        <v>1002</v>
      </c>
      <c r="L14" s="567" t="s">
        <v>1003</v>
      </c>
      <c r="M14" s="567" t="s">
        <v>1004</v>
      </c>
      <c r="N14" s="567" t="s">
        <v>1011</v>
      </c>
      <c r="O14" s="567" t="s">
        <v>1012</v>
      </c>
      <c r="P14" s="567" t="s">
        <v>1007</v>
      </c>
      <c r="Q14" s="567" t="s">
        <v>1008</v>
      </c>
      <c r="R14" s="567">
        <v>80</v>
      </c>
    </row>
    <row r="15" spans="1:18" ht="15" x14ac:dyDescent="0.2">
      <c r="A15" s="567"/>
      <c r="B15" s="567"/>
      <c r="C15" s="567"/>
      <c r="D15" s="569">
        <v>0.34151620370370367</v>
      </c>
      <c r="E15" s="567">
        <v>16696</v>
      </c>
      <c r="F15" s="567" t="s">
        <v>1001</v>
      </c>
      <c r="G15" s="567" t="s">
        <v>326</v>
      </c>
      <c r="H15" s="567">
        <v>0</v>
      </c>
      <c r="I15" s="567">
        <v>39</v>
      </c>
      <c r="J15" s="567" t="s">
        <v>327</v>
      </c>
      <c r="K15" s="567" t="s">
        <v>1002</v>
      </c>
      <c r="L15" s="567" t="s">
        <v>1003</v>
      </c>
      <c r="M15" s="567" t="s">
        <v>1004</v>
      </c>
      <c r="N15" s="567" t="s">
        <v>1011</v>
      </c>
      <c r="O15" s="567" t="s">
        <v>1012</v>
      </c>
      <c r="P15" s="567" t="s">
        <v>1009</v>
      </c>
      <c r="Q15" s="567" t="s">
        <v>1008</v>
      </c>
      <c r="R15" s="567">
        <v>80</v>
      </c>
    </row>
    <row r="16" spans="1:18" ht="15" x14ac:dyDescent="0.2">
      <c r="A16" s="567"/>
      <c r="B16" s="567"/>
      <c r="C16" s="567"/>
      <c r="D16" s="569">
        <v>0.34151620370370367</v>
      </c>
      <c r="E16" s="567">
        <v>0</v>
      </c>
      <c r="F16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6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8" width="7.625" style="568" bestFit="1" customWidth="1"/>
    <col min="9" max="9" width="5" style="568" bestFit="1" customWidth="1"/>
    <col min="10" max="10" width="8.375" style="568" bestFit="1" customWidth="1"/>
    <col min="11" max="11" width="18.75" style="568" bestFit="1" customWidth="1"/>
    <col min="12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4" width="7.625" style="568" bestFit="1" customWidth="1"/>
    <col min="265" max="265" width="5" style="568" bestFit="1" customWidth="1"/>
    <col min="266" max="266" width="8.375" style="568" bestFit="1" customWidth="1"/>
    <col min="267" max="267" width="18.75" style="568" bestFit="1" customWidth="1"/>
    <col min="268" max="269" width="8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20" width="7.625" style="568" bestFit="1" customWidth="1"/>
    <col min="521" max="521" width="5" style="568" bestFit="1" customWidth="1"/>
    <col min="522" max="522" width="8.375" style="568" bestFit="1" customWidth="1"/>
    <col min="523" max="523" width="18.75" style="568" bestFit="1" customWidth="1"/>
    <col min="524" max="525" width="8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6" width="7.625" style="568" bestFit="1" customWidth="1"/>
    <col min="777" max="777" width="5" style="568" bestFit="1" customWidth="1"/>
    <col min="778" max="778" width="8.375" style="568" bestFit="1" customWidth="1"/>
    <col min="779" max="779" width="18.75" style="568" bestFit="1" customWidth="1"/>
    <col min="780" max="781" width="8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2" width="7.625" style="568" bestFit="1" customWidth="1"/>
    <col min="1033" max="1033" width="5" style="568" bestFit="1" customWidth="1"/>
    <col min="1034" max="1034" width="8.375" style="568" bestFit="1" customWidth="1"/>
    <col min="1035" max="1035" width="18.75" style="568" bestFit="1" customWidth="1"/>
    <col min="1036" max="1037" width="8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8" width="7.625" style="568" bestFit="1" customWidth="1"/>
    <col min="1289" max="1289" width="5" style="568" bestFit="1" customWidth="1"/>
    <col min="1290" max="1290" width="8.375" style="568" bestFit="1" customWidth="1"/>
    <col min="1291" max="1291" width="18.75" style="568" bestFit="1" customWidth="1"/>
    <col min="1292" max="1293" width="8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4" width="7.625" style="568" bestFit="1" customWidth="1"/>
    <col min="1545" max="1545" width="5" style="568" bestFit="1" customWidth="1"/>
    <col min="1546" max="1546" width="8.375" style="568" bestFit="1" customWidth="1"/>
    <col min="1547" max="1547" width="18.75" style="568" bestFit="1" customWidth="1"/>
    <col min="1548" max="1549" width="8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800" width="7.625" style="568" bestFit="1" customWidth="1"/>
    <col min="1801" max="1801" width="5" style="568" bestFit="1" customWidth="1"/>
    <col min="1802" max="1802" width="8.375" style="568" bestFit="1" customWidth="1"/>
    <col min="1803" max="1803" width="18.75" style="568" bestFit="1" customWidth="1"/>
    <col min="1804" max="1805" width="8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6" width="7.625" style="568" bestFit="1" customWidth="1"/>
    <col min="2057" max="2057" width="5" style="568" bestFit="1" customWidth="1"/>
    <col min="2058" max="2058" width="8.375" style="568" bestFit="1" customWidth="1"/>
    <col min="2059" max="2059" width="18.75" style="568" bestFit="1" customWidth="1"/>
    <col min="2060" max="2061" width="8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2" width="7.625" style="568" bestFit="1" customWidth="1"/>
    <col min="2313" max="2313" width="5" style="568" bestFit="1" customWidth="1"/>
    <col min="2314" max="2314" width="8.375" style="568" bestFit="1" customWidth="1"/>
    <col min="2315" max="2315" width="18.75" style="568" bestFit="1" customWidth="1"/>
    <col min="2316" max="2317" width="8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8" width="7.625" style="568" bestFit="1" customWidth="1"/>
    <col min="2569" max="2569" width="5" style="568" bestFit="1" customWidth="1"/>
    <col min="2570" max="2570" width="8.375" style="568" bestFit="1" customWidth="1"/>
    <col min="2571" max="2571" width="18.75" style="568" bestFit="1" customWidth="1"/>
    <col min="2572" max="2573" width="8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4" width="7.625" style="568" bestFit="1" customWidth="1"/>
    <col min="2825" max="2825" width="5" style="568" bestFit="1" customWidth="1"/>
    <col min="2826" max="2826" width="8.375" style="568" bestFit="1" customWidth="1"/>
    <col min="2827" max="2827" width="18.75" style="568" bestFit="1" customWidth="1"/>
    <col min="2828" max="2829" width="8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80" width="7.625" style="568" bestFit="1" customWidth="1"/>
    <col min="3081" max="3081" width="5" style="568" bestFit="1" customWidth="1"/>
    <col min="3082" max="3082" width="8.375" style="568" bestFit="1" customWidth="1"/>
    <col min="3083" max="3083" width="18.75" style="568" bestFit="1" customWidth="1"/>
    <col min="3084" max="3085" width="8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6" width="7.625" style="568" bestFit="1" customWidth="1"/>
    <col min="3337" max="3337" width="5" style="568" bestFit="1" customWidth="1"/>
    <col min="3338" max="3338" width="8.375" style="568" bestFit="1" customWidth="1"/>
    <col min="3339" max="3339" width="18.75" style="568" bestFit="1" customWidth="1"/>
    <col min="3340" max="3341" width="8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2" width="7.625" style="568" bestFit="1" customWidth="1"/>
    <col min="3593" max="3593" width="5" style="568" bestFit="1" customWidth="1"/>
    <col min="3594" max="3594" width="8.375" style="568" bestFit="1" customWidth="1"/>
    <col min="3595" max="3595" width="18.75" style="568" bestFit="1" customWidth="1"/>
    <col min="3596" max="3597" width="8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8" width="7.625" style="568" bestFit="1" customWidth="1"/>
    <col min="3849" max="3849" width="5" style="568" bestFit="1" customWidth="1"/>
    <col min="3850" max="3850" width="8.375" style="568" bestFit="1" customWidth="1"/>
    <col min="3851" max="3851" width="18.75" style="568" bestFit="1" customWidth="1"/>
    <col min="3852" max="3853" width="8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4" width="7.625" style="568" bestFit="1" customWidth="1"/>
    <col min="4105" max="4105" width="5" style="568" bestFit="1" customWidth="1"/>
    <col min="4106" max="4106" width="8.375" style="568" bestFit="1" customWidth="1"/>
    <col min="4107" max="4107" width="18.75" style="568" bestFit="1" customWidth="1"/>
    <col min="4108" max="4109" width="8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60" width="7.625" style="568" bestFit="1" customWidth="1"/>
    <col min="4361" max="4361" width="5" style="568" bestFit="1" customWidth="1"/>
    <col min="4362" max="4362" width="8.375" style="568" bestFit="1" customWidth="1"/>
    <col min="4363" max="4363" width="18.75" style="568" bestFit="1" customWidth="1"/>
    <col min="4364" max="4365" width="8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6" width="7.625" style="568" bestFit="1" customWidth="1"/>
    <col min="4617" max="4617" width="5" style="568" bestFit="1" customWidth="1"/>
    <col min="4618" max="4618" width="8.375" style="568" bestFit="1" customWidth="1"/>
    <col min="4619" max="4619" width="18.75" style="568" bestFit="1" customWidth="1"/>
    <col min="4620" max="4621" width="8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2" width="7.625" style="568" bestFit="1" customWidth="1"/>
    <col min="4873" max="4873" width="5" style="568" bestFit="1" customWidth="1"/>
    <col min="4874" max="4874" width="8.375" style="568" bestFit="1" customWidth="1"/>
    <col min="4875" max="4875" width="18.75" style="568" bestFit="1" customWidth="1"/>
    <col min="4876" max="4877" width="8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8" width="7.625" style="568" bestFit="1" customWidth="1"/>
    <col min="5129" max="5129" width="5" style="568" bestFit="1" customWidth="1"/>
    <col min="5130" max="5130" width="8.375" style="568" bestFit="1" customWidth="1"/>
    <col min="5131" max="5131" width="18.75" style="568" bestFit="1" customWidth="1"/>
    <col min="5132" max="5133" width="8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4" width="7.625" style="568" bestFit="1" customWidth="1"/>
    <col min="5385" max="5385" width="5" style="568" bestFit="1" customWidth="1"/>
    <col min="5386" max="5386" width="8.375" style="568" bestFit="1" customWidth="1"/>
    <col min="5387" max="5387" width="18.75" style="568" bestFit="1" customWidth="1"/>
    <col min="5388" max="5389" width="8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40" width="7.625" style="568" bestFit="1" customWidth="1"/>
    <col min="5641" max="5641" width="5" style="568" bestFit="1" customWidth="1"/>
    <col min="5642" max="5642" width="8.375" style="568" bestFit="1" customWidth="1"/>
    <col min="5643" max="5643" width="18.75" style="568" bestFit="1" customWidth="1"/>
    <col min="5644" max="5645" width="8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6" width="7.625" style="568" bestFit="1" customWidth="1"/>
    <col min="5897" max="5897" width="5" style="568" bestFit="1" customWidth="1"/>
    <col min="5898" max="5898" width="8.375" style="568" bestFit="1" customWidth="1"/>
    <col min="5899" max="5899" width="18.75" style="568" bestFit="1" customWidth="1"/>
    <col min="5900" max="5901" width="8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2" width="7.625" style="568" bestFit="1" customWidth="1"/>
    <col min="6153" max="6153" width="5" style="568" bestFit="1" customWidth="1"/>
    <col min="6154" max="6154" width="8.375" style="568" bestFit="1" customWidth="1"/>
    <col min="6155" max="6155" width="18.75" style="568" bestFit="1" customWidth="1"/>
    <col min="6156" max="6157" width="8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8" width="7.625" style="568" bestFit="1" customWidth="1"/>
    <col min="6409" max="6409" width="5" style="568" bestFit="1" customWidth="1"/>
    <col min="6410" max="6410" width="8.375" style="568" bestFit="1" customWidth="1"/>
    <col min="6411" max="6411" width="18.75" style="568" bestFit="1" customWidth="1"/>
    <col min="6412" max="6413" width="8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4" width="7.625" style="568" bestFit="1" customWidth="1"/>
    <col min="6665" max="6665" width="5" style="568" bestFit="1" customWidth="1"/>
    <col min="6666" max="6666" width="8.375" style="568" bestFit="1" customWidth="1"/>
    <col min="6667" max="6667" width="18.75" style="568" bestFit="1" customWidth="1"/>
    <col min="6668" max="6669" width="8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20" width="7.625" style="568" bestFit="1" customWidth="1"/>
    <col min="6921" max="6921" width="5" style="568" bestFit="1" customWidth="1"/>
    <col min="6922" max="6922" width="8.375" style="568" bestFit="1" customWidth="1"/>
    <col min="6923" max="6923" width="18.75" style="568" bestFit="1" customWidth="1"/>
    <col min="6924" max="6925" width="8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6" width="7.625" style="568" bestFit="1" customWidth="1"/>
    <col min="7177" max="7177" width="5" style="568" bestFit="1" customWidth="1"/>
    <col min="7178" max="7178" width="8.375" style="568" bestFit="1" customWidth="1"/>
    <col min="7179" max="7179" width="18.75" style="568" bestFit="1" customWidth="1"/>
    <col min="7180" max="7181" width="8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2" width="7.625" style="568" bestFit="1" customWidth="1"/>
    <col min="7433" max="7433" width="5" style="568" bestFit="1" customWidth="1"/>
    <col min="7434" max="7434" width="8.375" style="568" bestFit="1" customWidth="1"/>
    <col min="7435" max="7435" width="18.75" style="568" bestFit="1" customWidth="1"/>
    <col min="7436" max="7437" width="8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8" width="7.625" style="568" bestFit="1" customWidth="1"/>
    <col min="7689" max="7689" width="5" style="568" bestFit="1" customWidth="1"/>
    <col min="7690" max="7690" width="8.375" style="568" bestFit="1" customWidth="1"/>
    <col min="7691" max="7691" width="18.75" style="568" bestFit="1" customWidth="1"/>
    <col min="7692" max="7693" width="8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4" width="7.625" style="568" bestFit="1" customWidth="1"/>
    <col min="7945" max="7945" width="5" style="568" bestFit="1" customWidth="1"/>
    <col min="7946" max="7946" width="8.375" style="568" bestFit="1" customWidth="1"/>
    <col min="7947" max="7947" width="18.75" style="568" bestFit="1" customWidth="1"/>
    <col min="7948" max="7949" width="8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200" width="7.625" style="568" bestFit="1" customWidth="1"/>
    <col min="8201" max="8201" width="5" style="568" bestFit="1" customWidth="1"/>
    <col min="8202" max="8202" width="8.375" style="568" bestFit="1" customWidth="1"/>
    <col min="8203" max="8203" width="18.75" style="568" bestFit="1" customWidth="1"/>
    <col min="8204" max="8205" width="8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6" width="7.625" style="568" bestFit="1" customWidth="1"/>
    <col min="8457" max="8457" width="5" style="568" bestFit="1" customWidth="1"/>
    <col min="8458" max="8458" width="8.375" style="568" bestFit="1" customWidth="1"/>
    <col min="8459" max="8459" width="18.75" style="568" bestFit="1" customWidth="1"/>
    <col min="8460" max="8461" width="8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2" width="7.625" style="568" bestFit="1" customWidth="1"/>
    <col min="8713" max="8713" width="5" style="568" bestFit="1" customWidth="1"/>
    <col min="8714" max="8714" width="8.375" style="568" bestFit="1" customWidth="1"/>
    <col min="8715" max="8715" width="18.75" style="568" bestFit="1" customWidth="1"/>
    <col min="8716" max="8717" width="8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8" width="7.625" style="568" bestFit="1" customWidth="1"/>
    <col min="8969" max="8969" width="5" style="568" bestFit="1" customWidth="1"/>
    <col min="8970" max="8970" width="8.375" style="568" bestFit="1" customWidth="1"/>
    <col min="8971" max="8971" width="18.75" style="568" bestFit="1" customWidth="1"/>
    <col min="8972" max="8973" width="8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4" width="7.625" style="568" bestFit="1" customWidth="1"/>
    <col min="9225" max="9225" width="5" style="568" bestFit="1" customWidth="1"/>
    <col min="9226" max="9226" width="8.375" style="568" bestFit="1" customWidth="1"/>
    <col min="9227" max="9227" width="18.75" style="568" bestFit="1" customWidth="1"/>
    <col min="9228" max="9229" width="8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80" width="7.625" style="568" bestFit="1" customWidth="1"/>
    <col min="9481" max="9481" width="5" style="568" bestFit="1" customWidth="1"/>
    <col min="9482" max="9482" width="8.375" style="568" bestFit="1" customWidth="1"/>
    <col min="9483" max="9483" width="18.75" style="568" bestFit="1" customWidth="1"/>
    <col min="9484" max="9485" width="8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6" width="7.625" style="568" bestFit="1" customWidth="1"/>
    <col min="9737" max="9737" width="5" style="568" bestFit="1" customWidth="1"/>
    <col min="9738" max="9738" width="8.375" style="568" bestFit="1" customWidth="1"/>
    <col min="9739" max="9739" width="18.75" style="568" bestFit="1" customWidth="1"/>
    <col min="9740" max="9741" width="8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2" width="7.625" style="568" bestFit="1" customWidth="1"/>
    <col min="9993" max="9993" width="5" style="568" bestFit="1" customWidth="1"/>
    <col min="9994" max="9994" width="8.375" style="568" bestFit="1" customWidth="1"/>
    <col min="9995" max="9995" width="18.75" style="568" bestFit="1" customWidth="1"/>
    <col min="9996" max="9997" width="8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8" width="7.625" style="568" bestFit="1" customWidth="1"/>
    <col min="10249" max="10249" width="5" style="568" bestFit="1" customWidth="1"/>
    <col min="10250" max="10250" width="8.375" style="568" bestFit="1" customWidth="1"/>
    <col min="10251" max="10251" width="18.75" style="568" bestFit="1" customWidth="1"/>
    <col min="10252" max="10253" width="8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4" width="7.625" style="568" bestFit="1" customWidth="1"/>
    <col min="10505" max="10505" width="5" style="568" bestFit="1" customWidth="1"/>
    <col min="10506" max="10506" width="8.375" style="568" bestFit="1" customWidth="1"/>
    <col min="10507" max="10507" width="18.75" style="568" bestFit="1" customWidth="1"/>
    <col min="10508" max="10509" width="8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60" width="7.625" style="568" bestFit="1" customWidth="1"/>
    <col min="10761" max="10761" width="5" style="568" bestFit="1" customWidth="1"/>
    <col min="10762" max="10762" width="8.375" style="568" bestFit="1" customWidth="1"/>
    <col min="10763" max="10763" width="18.75" style="568" bestFit="1" customWidth="1"/>
    <col min="10764" max="10765" width="8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6" width="7.625" style="568" bestFit="1" customWidth="1"/>
    <col min="11017" max="11017" width="5" style="568" bestFit="1" customWidth="1"/>
    <col min="11018" max="11018" width="8.375" style="568" bestFit="1" customWidth="1"/>
    <col min="11019" max="11019" width="18.75" style="568" bestFit="1" customWidth="1"/>
    <col min="11020" max="11021" width="8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2" width="7.625" style="568" bestFit="1" customWidth="1"/>
    <col min="11273" max="11273" width="5" style="568" bestFit="1" customWidth="1"/>
    <col min="11274" max="11274" width="8.375" style="568" bestFit="1" customWidth="1"/>
    <col min="11275" max="11275" width="18.75" style="568" bestFit="1" customWidth="1"/>
    <col min="11276" max="11277" width="8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8" width="7.625" style="568" bestFit="1" customWidth="1"/>
    <col min="11529" max="11529" width="5" style="568" bestFit="1" customWidth="1"/>
    <col min="11530" max="11530" width="8.375" style="568" bestFit="1" customWidth="1"/>
    <col min="11531" max="11531" width="18.75" style="568" bestFit="1" customWidth="1"/>
    <col min="11532" max="11533" width="8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4" width="7.625" style="568" bestFit="1" customWidth="1"/>
    <col min="11785" max="11785" width="5" style="568" bestFit="1" customWidth="1"/>
    <col min="11786" max="11786" width="8.375" style="568" bestFit="1" customWidth="1"/>
    <col min="11787" max="11787" width="18.75" style="568" bestFit="1" customWidth="1"/>
    <col min="11788" max="11789" width="8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40" width="7.625" style="568" bestFit="1" customWidth="1"/>
    <col min="12041" max="12041" width="5" style="568" bestFit="1" customWidth="1"/>
    <col min="12042" max="12042" width="8.375" style="568" bestFit="1" customWidth="1"/>
    <col min="12043" max="12043" width="18.75" style="568" bestFit="1" customWidth="1"/>
    <col min="12044" max="12045" width="8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6" width="7.625" style="568" bestFit="1" customWidth="1"/>
    <col min="12297" max="12297" width="5" style="568" bestFit="1" customWidth="1"/>
    <col min="12298" max="12298" width="8.375" style="568" bestFit="1" customWidth="1"/>
    <col min="12299" max="12299" width="18.75" style="568" bestFit="1" customWidth="1"/>
    <col min="12300" max="12301" width="8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2" width="7.625" style="568" bestFit="1" customWidth="1"/>
    <col min="12553" max="12553" width="5" style="568" bestFit="1" customWidth="1"/>
    <col min="12554" max="12554" width="8.375" style="568" bestFit="1" customWidth="1"/>
    <col min="12555" max="12555" width="18.75" style="568" bestFit="1" customWidth="1"/>
    <col min="12556" max="12557" width="8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8" width="7.625" style="568" bestFit="1" customWidth="1"/>
    <col min="12809" max="12809" width="5" style="568" bestFit="1" customWidth="1"/>
    <col min="12810" max="12810" width="8.375" style="568" bestFit="1" customWidth="1"/>
    <col min="12811" max="12811" width="18.75" style="568" bestFit="1" customWidth="1"/>
    <col min="12812" max="12813" width="8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4" width="7.625" style="568" bestFit="1" customWidth="1"/>
    <col min="13065" max="13065" width="5" style="568" bestFit="1" customWidth="1"/>
    <col min="13066" max="13066" width="8.375" style="568" bestFit="1" customWidth="1"/>
    <col min="13067" max="13067" width="18.75" style="568" bestFit="1" customWidth="1"/>
    <col min="13068" max="13069" width="8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20" width="7.625" style="568" bestFit="1" customWidth="1"/>
    <col min="13321" max="13321" width="5" style="568" bestFit="1" customWidth="1"/>
    <col min="13322" max="13322" width="8.375" style="568" bestFit="1" customWidth="1"/>
    <col min="13323" max="13323" width="18.75" style="568" bestFit="1" customWidth="1"/>
    <col min="13324" max="13325" width="8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6" width="7.625" style="568" bestFit="1" customWidth="1"/>
    <col min="13577" max="13577" width="5" style="568" bestFit="1" customWidth="1"/>
    <col min="13578" max="13578" width="8.375" style="568" bestFit="1" customWidth="1"/>
    <col min="13579" max="13579" width="18.75" style="568" bestFit="1" customWidth="1"/>
    <col min="13580" max="13581" width="8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2" width="7.625" style="568" bestFit="1" customWidth="1"/>
    <col min="13833" max="13833" width="5" style="568" bestFit="1" customWidth="1"/>
    <col min="13834" max="13834" width="8.375" style="568" bestFit="1" customWidth="1"/>
    <col min="13835" max="13835" width="18.75" style="568" bestFit="1" customWidth="1"/>
    <col min="13836" max="13837" width="8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8" width="7.625" style="568" bestFit="1" customWidth="1"/>
    <col min="14089" max="14089" width="5" style="568" bestFit="1" customWidth="1"/>
    <col min="14090" max="14090" width="8.375" style="568" bestFit="1" customWidth="1"/>
    <col min="14091" max="14091" width="18.75" style="568" bestFit="1" customWidth="1"/>
    <col min="14092" max="14093" width="8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4" width="7.625" style="568" bestFit="1" customWidth="1"/>
    <col min="14345" max="14345" width="5" style="568" bestFit="1" customWidth="1"/>
    <col min="14346" max="14346" width="8.375" style="568" bestFit="1" customWidth="1"/>
    <col min="14347" max="14347" width="18.75" style="568" bestFit="1" customWidth="1"/>
    <col min="14348" max="14349" width="8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600" width="7.625" style="568" bestFit="1" customWidth="1"/>
    <col min="14601" max="14601" width="5" style="568" bestFit="1" customWidth="1"/>
    <col min="14602" max="14602" width="8.375" style="568" bestFit="1" customWidth="1"/>
    <col min="14603" max="14603" width="18.75" style="568" bestFit="1" customWidth="1"/>
    <col min="14604" max="14605" width="8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6" width="7.625" style="568" bestFit="1" customWidth="1"/>
    <col min="14857" max="14857" width="5" style="568" bestFit="1" customWidth="1"/>
    <col min="14858" max="14858" width="8.375" style="568" bestFit="1" customWidth="1"/>
    <col min="14859" max="14859" width="18.75" style="568" bestFit="1" customWidth="1"/>
    <col min="14860" max="14861" width="8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2" width="7.625" style="568" bestFit="1" customWidth="1"/>
    <col min="15113" max="15113" width="5" style="568" bestFit="1" customWidth="1"/>
    <col min="15114" max="15114" width="8.375" style="568" bestFit="1" customWidth="1"/>
    <col min="15115" max="15115" width="18.75" style="568" bestFit="1" customWidth="1"/>
    <col min="15116" max="15117" width="8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8" width="7.625" style="568" bestFit="1" customWidth="1"/>
    <col min="15369" max="15369" width="5" style="568" bestFit="1" customWidth="1"/>
    <col min="15370" max="15370" width="8.375" style="568" bestFit="1" customWidth="1"/>
    <col min="15371" max="15371" width="18.75" style="568" bestFit="1" customWidth="1"/>
    <col min="15372" max="15373" width="8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4" width="7.625" style="568" bestFit="1" customWidth="1"/>
    <col min="15625" max="15625" width="5" style="568" bestFit="1" customWidth="1"/>
    <col min="15626" max="15626" width="8.375" style="568" bestFit="1" customWidth="1"/>
    <col min="15627" max="15627" width="18.75" style="568" bestFit="1" customWidth="1"/>
    <col min="15628" max="15629" width="8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80" width="7.625" style="568" bestFit="1" customWidth="1"/>
    <col min="15881" max="15881" width="5" style="568" bestFit="1" customWidth="1"/>
    <col min="15882" max="15882" width="8.375" style="568" bestFit="1" customWidth="1"/>
    <col min="15883" max="15883" width="18.75" style="568" bestFit="1" customWidth="1"/>
    <col min="15884" max="15885" width="8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6" width="7.625" style="568" bestFit="1" customWidth="1"/>
    <col min="16137" max="16137" width="5" style="568" bestFit="1" customWidth="1"/>
    <col min="16138" max="16138" width="8.375" style="568" bestFit="1" customWidth="1"/>
    <col min="16139" max="16139" width="18.75" style="568" bestFit="1" customWidth="1"/>
    <col min="16140" max="16141" width="8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914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401</v>
      </c>
      <c r="J9" s="567" t="s">
        <v>327</v>
      </c>
      <c r="K9" s="567" t="s">
        <v>1002</v>
      </c>
      <c r="L9" s="567" t="s">
        <v>1003</v>
      </c>
      <c r="M9" s="567" t="s">
        <v>1004</v>
      </c>
      <c r="N9" s="567" t="s">
        <v>1011</v>
      </c>
      <c r="O9" s="567" t="s">
        <v>1012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0.15862268518518519</v>
      </c>
      <c r="E10" s="567">
        <v>109640</v>
      </c>
      <c r="F10" s="567" t="s">
        <v>1001</v>
      </c>
      <c r="G10" s="567" t="s">
        <v>326</v>
      </c>
      <c r="H10" s="567">
        <v>0</v>
      </c>
      <c r="I10" s="567">
        <v>401</v>
      </c>
      <c r="J10" s="567" t="s">
        <v>327</v>
      </c>
      <c r="K10" s="567" t="s">
        <v>1002</v>
      </c>
      <c r="L10" s="567" t="s">
        <v>1003</v>
      </c>
      <c r="M10" s="567" t="s">
        <v>1004</v>
      </c>
      <c r="N10" s="567" t="s">
        <v>1011</v>
      </c>
      <c r="O10" s="567" t="s">
        <v>1012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0.16874999999999998</v>
      </c>
      <c r="E11" s="567">
        <v>7000</v>
      </c>
      <c r="F11" s="567" t="s">
        <v>335</v>
      </c>
      <c r="G11" s="567">
        <v>0</v>
      </c>
      <c r="H11" s="567" t="s">
        <v>326</v>
      </c>
      <c r="I11" s="567" t="s">
        <v>336</v>
      </c>
      <c r="J11" s="567">
        <v>0</v>
      </c>
      <c r="K11" s="567" t="s">
        <v>337</v>
      </c>
      <c r="L11" s="567">
        <v>45</v>
      </c>
      <c r="M11" s="567">
        <v>1</v>
      </c>
    </row>
    <row r="12" spans="1:18" ht="15" x14ac:dyDescent="0.2">
      <c r="A12" s="567"/>
      <c r="B12" s="567"/>
      <c r="C12" s="567"/>
      <c r="D12" s="569">
        <v>0.17222222222222225</v>
      </c>
      <c r="E12" s="567">
        <v>0</v>
      </c>
      <c r="F12" s="567" t="s">
        <v>1001</v>
      </c>
      <c r="G12" s="567" t="s">
        <v>326</v>
      </c>
      <c r="H12" s="567">
        <v>0</v>
      </c>
      <c r="I12" s="567">
        <v>97</v>
      </c>
      <c r="J12" s="567" t="s">
        <v>1010</v>
      </c>
      <c r="K12" s="567" t="s">
        <v>1002</v>
      </c>
      <c r="L12" s="567" t="s">
        <v>1003</v>
      </c>
      <c r="M12" s="567" t="s">
        <v>1004</v>
      </c>
      <c r="N12" s="567" t="s">
        <v>1011</v>
      </c>
      <c r="O12" s="567" t="s">
        <v>1012</v>
      </c>
      <c r="P12" s="567" t="s">
        <v>1007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0.27666666666666667</v>
      </c>
      <c r="E13" s="567">
        <v>72192</v>
      </c>
      <c r="F13" s="567" t="s">
        <v>1001</v>
      </c>
      <c r="G13" s="567" t="s">
        <v>326</v>
      </c>
      <c r="H13" s="567">
        <v>0</v>
      </c>
      <c r="I13" s="567">
        <v>97</v>
      </c>
      <c r="J13" s="567" t="s">
        <v>1010</v>
      </c>
      <c r="K13" s="567" t="s">
        <v>1002</v>
      </c>
      <c r="L13" s="567" t="s">
        <v>1003</v>
      </c>
      <c r="M13" s="567" t="s">
        <v>1004</v>
      </c>
      <c r="N13" s="567" t="s">
        <v>1011</v>
      </c>
      <c r="O13" s="567" t="s">
        <v>1012</v>
      </c>
      <c r="P13" s="567" t="s">
        <v>1009</v>
      </c>
      <c r="Q13" s="567" t="s">
        <v>1008</v>
      </c>
      <c r="R13" s="567">
        <v>80</v>
      </c>
    </row>
    <row r="14" spans="1:18" ht="15" x14ac:dyDescent="0.2">
      <c r="A14" s="567"/>
      <c r="B14" s="567"/>
      <c r="C14" s="567"/>
      <c r="D14" s="569">
        <v>0.28333333333333333</v>
      </c>
      <c r="E14" s="567">
        <v>4608</v>
      </c>
      <c r="F14" s="567" t="s">
        <v>1001</v>
      </c>
      <c r="G14" s="567" t="s">
        <v>326</v>
      </c>
      <c r="H14" s="567">
        <v>0</v>
      </c>
      <c r="I14" s="567">
        <v>39</v>
      </c>
      <c r="J14" s="567" t="s">
        <v>327</v>
      </c>
      <c r="K14" s="567" t="s">
        <v>1002</v>
      </c>
      <c r="L14" s="567" t="s">
        <v>1003</v>
      </c>
      <c r="M14" s="567" t="s">
        <v>1004</v>
      </c>
      <c r="N14" s="567" t="s">
        <v>1011</v>
      </c>
      <c r="O14" s="567" t="s">
        <v>1012</v>
      </c>
      <c r="P14" s="567" t="s">
        <v>1007</v>
      </c>
      <c r="Q14" s="567" t="s">
        <v>1008</v>
      </c>
      <c r="R14" s="567">
        <v>80</v>
      </c>
    </row>
    <row r="15" spans="1:18" ht="15" x14ac:dyDescent="0.2">
      <c r="A15" s="567"/>
      <c r="B15" s="567"/>
      <c r="C15" s="567"/>
      <c r="D15" s="569">
        <v>0.31009259259259259</v>
      </c>
      <c r="E15" s="567">
        <v>18496</v>
      </c>
      <c r="F15" s="567" t="s">
        <v>1001</v>
      </c>
      <c r="G15" s="567" t="s">
        <v>326</v>
      </c>
      <c r="H15" s="567">
        <v>0</v>
      </c>
      <c r="I15" s="567">
        <v>39</v>
      </c>
      <c r="J15" s="567" t="s">
        <v>327</v>
      </c>
      <c r="K15" s="567" t="s">
        <v>1002</v>
      </c>
      <c r="L15" s="567" t="s">
        <v>1003</v>
      </c>
      <c r="M15" s="567" t="s">
        <v>1004</v>
      </c>
      <c r="N15" s="567" t="s">
        <v>1011</v>
      </c>
      <c r="O15" s="567" t="s">
        <v>1012</v>
      </c>
      <c r="P15" s="567" t="s">
        <v>1009</v>
      </c>
      <c r="Q15" s="567" t="s">
        <v>1008</v>
      </c>
      <c r="R15" s="567">
        <v>80</v>
      </c>
    </row>
    <row r="16" spans="1:18" ht="15" x14ac:dyDescent="0.2">
      <c r="A16" s="567"/>
      <c r="B16" s="567"/>
      <c r="C16" s="567"/>
      <c r="D16" s="569">
        <v>0.31009259259259259</v>
      </c>
      <c r="E16" s="567">
        <v>0</v>
      </c>
      <c r="F16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6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8" width="7.625" style="568" bestFit="1" customWidth="1"/>
    <col min="9" max="9" width="5" style="568" bestFit="1" customWidth="1"/>
    <col min="10" max="10" width="8.375" style="568" bestFit="1" customWidth="1"/>
    <col min="11" max="11" width="18.75" style="568" bestFit="1" customWidth="1"/>
    <col min="12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4" width="7.625" style="568" bestFit="1" customWidth="1"/>
    <col min="265" max="265" width="5" style="568" bestFit="1" customWidth="1"/>
    <col min="266" max="266" width="8.375" style="568" bestFit="1" customWidth="1"/>
    <col min="267" max="267" width="18.75" style="568" bestFit="1" customWidth="1"/>
    <col min="268" max="269" width="8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20" width="7.625" style="568" bestFit="1" customWidth="1"/>
    <col min="521" max="521" width="5" style="568" bestFit="1" customWidth="1"/>
    <col min="522" max="522" width="8.375" style="568" bestFit="1" customWidth="1"/>
    <col min="523" max="523" width="18.75" style="568" bestFit="1" customWidth="1"/>
    <col min="524" max="525" width="8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6" width="7.625" style="568" bestFit="1" customWidth="1"/>
    <col min="777" max="777" width="5" style="568" bestFit="1" customWidth="1"/>
    <col min="778" max="778" width="8.375" style="568" bestFit="1" customWidth="1"/>
    <col min="779" max="779" width="18.75" style="568" bestFit="1" customWidth="1"/>
    <col min="780" max="781" width="8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2" width="7.625" style="568" bestFit="1" customWidth="1"/>
    <col min="1033" max="1033" width="5" style="568" bestFit="1" customWidth="1"/>
    <col min="1034" max="1034" width="8.375" style="568" bestFit="1" customWidth="1"/>
    <col min="1035" max="1035" width="18.75" style="568" bestFit="1" customWidth="1"/>
    <col min="1036" max="1037" width="8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8" width="7.625" style="568" bestFit="1" customWidth="1"/>
    <col min="1289" max="1289" width="5" style="568" bestFit="1" customWidth="1"/>
    <col min="1290" max="1290" width="8.375" style="568" bestFit="1" customWidth="1"/>
    <col min="1291" max="1291" width="18.75" style="568" bestFit="1" customWidth="1"/>
    <col min="1292" max="1293" width="8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4" width="7.625" style="568" bestFit="1" customWidth="1"/>
    <col min="1545" max="1545" width="5" style="568" bestFit="1" customWidth="1"/>
    <col min="1546" max="1546" width="8.375" style="568" bestFit="1" customWidth="1"/>
    <col min="1547" max="1547" width="18.75" style="568" bestFit="1" customWidth="1"/>
    <col min="1548" max="1549" width="8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800" width="7.625" style="568" bestFit="1" customWidth="1"/>
    <col min="1801" max="1801" width="5" style="568" bestFit="1" customWidth="1"/>
    <col min="1802" max="1802" width="8.375" style="568" bestFit="1" customWidth="1"/>
    <col min="1803" max="1803" width="18.75" style="568" bestFit="1" customWidth="1"/>
    <col min="1804" max="1805" width="8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6" width="7.625" style="568" bestFit="1" customWidth="1"/>
    <col min="2057" max="2057" width="5" style="568" bestFit="1" customWidth="1"/>
    <col min="2058" max="2058" width="8.375" style="568" bestFit="1" customWidth="1"/>
    <col min="2059" max="2059" width="18.75" style="568" bestFit="1" customWidth="1"/>
    <col min="2060" max="2061" width="8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2" width="7.625" style="568" bestFit="1" customWidth="1"/>
    <col min="2313" max="2313" width="5" style="568" bestFit="1" customWidth="1"/>
    <col min="2314" max="2314" width="8.375" style="568" bestFit="1" customWidth="1"/>
    <col min="2315" max="2315" width="18.75" style="568" bestFit="1" customWidth="1"/>
    <col min="2316" max="2317" width="8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8" width="7.625" style="568" bestFit="1" customWidth="1"/>
    <col min="2569" max="2569" width="5" style="568" bestFit="1" customWidth="1"/>
    <col min="2570" max="2570" width="8.375" style="568" bestFit="1" customWidth="1"/>
    <col min="2571" max="2571" width="18.75" style="568" bestFit="1" customWidth="1"/>
    <col min="2572" max="2573" width="8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4" width="7.625" style="568" bestFit="1" customWidth="1"/>
    <col min="2825" max="2825" width="5" style="568" bestFit="1" customWidth="1"/>
    <col min="2826" max="2826" width="8.375" style="568" bestFit="1" customWidth="1"/>
    <col min="2827" max="2827" width="18.75" style="568" bestFit="1" customWidth="1"/>
    <col min="2828" max="2829" width="8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80" width="7.625" style="568" bestFit="1" customWidth="1"/>
    <col min="3081" max="3081" width="5" style="568" bestFit="1" customWidth="1"/>
    <col min="3082" max="3082" width="8.375" style="568" bestFit="1" customWidth="1"/>
    <col min="3083" max="3083" width="18.75" style="568" bestFit="1" customWidth="1"/>
    <col min="3084" max="3085" width="8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6" width="7.625" style="568" bestFit="1" customWidth="1"/>
    <col min="3337" max="3337" width="5" style="568" bestFit="1" customWidth="1"/>
    <col min="3338" max="3338" width="8.375" style="568" bestFit="1" customWidth="1"/>
    <col min="3339" max="3339" width="18.75" style="568" bestFit="1" customWidth="1"/>
    <col min="3340" max="3341" width="8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2" width="7.625" style="568" bestFit="1" customWidth="1"/>
    <col min="3593" max="3593" width="5" style="568" bestFit="1" customWidth="1"/>
    <col min="3594" max="3594" width="8.375" style="568" bestFit="1" customWidth="1"/>
    <col min="3595" max="3595" width="18.75" style="568" bestFit="1" customWidth="1"/>
    <col min="3596" max="3597" width="8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8" width="7.625" style="568" bestFit="1" customWidth="1"/>
    <col min="3849" max="3849" width="5" style="568" bestFit="1" customWidth="1"/>
    <col min="3850" max="3850" width="8.375" style="568" bestFit="1" customWidth="1"/>
    <col min="3851" max="3851" width="18.75" style="568" bestFit="1" customWidth="1"/>
    <col min="3852" max="3853" width="8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4" width="7.625" style="568" bestFit="1" customWidth="1"/>
    <col min="4105" max="4105" width="5" style="568" bestFit="1" customWidth="1"/>
    <col min="4106" max="4106" width="8.375" style="568" bestFit="1" customWidth="1"/>
    <col min="4107" max="4107" width="18.75" style="568" bestFit="1" customWidth="1"/>
    <col min="4108" max="4109" width="8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60" width="7.625" style="568" bestFit="1" customWidth="1"/>
    <col min="4361" max="4361" width="5" style="568" bestFit="1" customWidth="1"/>
    <col min="4362" max="4362" width="8.375" style="568" bestFit="1" customWidth="1"/>
    <col min="4363" max="4363" width="18.75" style="568" bestFit="1" customWidth="1"/>
    <col min="4364" max="4365" width="8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6" width="7.625" style="568" bestFit="1" customWidth="1"/>
    <col min="4617" max="4617" width="5" style="568" bestFit="1" customWidth="1"/>
    <col min="4618" max="4618" width="8.375" style="568" bestFit="1" customWidth="1"/>
    <col min="4619" max="4619" width="18.75" style="568" bestFit="1" customWidth="1"/>
    <col min="4620" max="4621" width="8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2" width="7.625" style="568" bestFit="1" customWidth="1"/>
    <col min="4873" max="4873" width="5" style="568" bestFit="1" customWidth="1"/>
    <col min="4874" max="4874" width="8.375" style="568" bestFit="1" customWidth="1"/>
    <col min="4875" max="4875" width="18.75" style="568" bestFit="1" customWidth="1"/>
    <col min="4876" max="4877" width="8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8" width="7.625" style="568" bestFit="1" customWidth="1"/>
    <col min="5129" max="5129" width="5" style="568" bestFit="1" customWidth="1"/>
    <col min="5130" max="5130" width="8.375" style="568" bestFit="1" customWidth="1"/>
    <col min="5131" max="5131" width="18.75" style="568" bestFit="1" customWidth="1"/>
    <col min="5132" max="5133" width="8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4" width="7.625" style="568" bestFit="1" customWidth="1"/>
    <col min="5385" max="5385" width="5" style="568" bestFit="1" customWidth="1"/>
    <col min="5386" max="5386" width="8.375" style="568" bestFit="1" customWidth="1"/>
    <col min="5387" max="5387" width="18.75" style="568" bestFit="1" customWidth="1"/>
    <col min="5388" max="5389" width="8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40" width="7.625" style="568" bestFit="1" customWidth="1"/>
    <col min="5641" max="5641" width="5" style="568" bestFit="1" customWidth="1"/>
    <col min="5642" max="5642" width="8.375" style="568" bestFit="1" customWidth="1"/>
    <col min="5643" max="5643" width="18.75" style="568" bestFit="1" customWidth="1"/>
    <col min="5644" max="5645" width="8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6" width="7.625" style="568" bestFit="1" customWidth="1"/>
    <col min="5897" max="5897" width="5" style="568" bestFit="1" customWidth="1"/>
    <col min="5898" max="5898" width="8.375" style="568" bestFit="1" customWidth="1"/>
    <col min="5899" max="5899" width="18.75" style="568" bestFit="1" customWidth="1"/>
    <col min="5900" max="5901" width="8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2" width="7.625" style="568" bestFit="1" customWidth="1"/>
    <col min="6153" max="6153" width="5" style="568" bestFit="1" customWidth="1"/>
    <col min="6154" max="6154" width="8.375" style="568" bestFit="1" customWidth="1"/>
    <col min="6155" max="6155" width="18.75" style="568" bestFit="1" customWidth="1"/>
    <col min="6156" max="6157" width="8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8" width="7.625" style="568" bestFit="1" customWidth="1"/>
    <col min="6409" max="6409" width="5" style="568" bestFit="1" customWidth="1"/>
    <col min="6410" max="6410" width="8.375" style="568" bestFit="1" customWidth="1"/>
    <col min="6411" max="6411" width="18.75" style="568" bestFit="1" customWidth="1"/>
    <col min="6412" max="6413" width="8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4" width="7.625" style="568" bestFit="1" customWidth="1"/>
    <col min="6665" max="6665" width="5" style="568" bestFit="1" customWidth="1"/>
    <col min="6666" max="6666" width="8.375" style="568" bestFit="1" customWidth="1"/>
    <col min="6667" max="6667" width="18.75" style="568" bestFit="1" customWidth="1"/>
    <col min="6668" max="6669" width="8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20" width="7.625" style="568" bestFit="1" customWidth="1"/>
    <col min="6921" max="6921" width="5" style="568" bestFit="1" customWidth="1"/>
    <col min="6922" max="6922" width="8.375" style="568" bestFit="1" customWidth="1"/>
    <col min="6923" max="6923" width="18.75" style="568" bestFit="1" customWidth="1"/>
    <col min="6924" max="6925" width="8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6" width="7.625" style="568" bestFit="1" customWidth="1"/>
    <col min="7177" max="7177" width="5" style="568" bestFit="1" customWidth="1"/>
    <col min="7178" max="7178" width="8.375" style="568" bestFit="1" customWidth="1"/>
    <col min="7179" max="7179" width="18.75" style="568" bestFit="1" customWidth="1"/>
    <col min="7180" max="7181" width="8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2" width="7.625" style="568" bestFit="1" customWidth="1"/>
    <col min="7433" max="7433" width="5" style="568" bestFit="1" customWidth="1"/>
    <col min="7434" max="7434" width="8.375" style="568" bestFit="1" customWidth="1"/>
    <col min="7435" max="7435" width="18.75" style="568" bestFit="1" customWidth="1"/>
    <col min="7436" max="7437" width="8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8" width="7.625" style="568" bestFit="1" customWidth="1"/>
    <col min="7689" max="7689" width="5" style="568" bestFit="1" customWidth="1"/>
    <col min="7690" max="7690" width="8.375" style="568" bestFit="1" customWidth="1"/>
    <col min="7691" max="7691" width="18.75" style="568" bestFit="1" customWidth="1"/>
    <col min="7692" max="7693" width="8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4" width="7.625" style="568" bestFit="1" customWidth="1"/>
    <col min="7945" max="7945" width="5" style="568" bestFit="1" customWidth="1"/>
    <col min="7946" max="7946" width="8.375" style="568" bestFit="1" customWidth="1"/>
    <col min="7947" max="7947" width="18.75" style="568" bestFit="1" customWidth="1"/>
    <col min="7948" max="7949" width="8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200" width="7.625" style="568" bestFit="1" customWidth="1"/>
    <col min="8201" max="8201" width="5" style="568" bestFit="1" customWidth="1"/>
    <col min="8202" max="8202" width="8.375" style="568" bestFit="1" customWidth="1"/>
    <col min="8203" max="8203" width="18.75" style="568" bestFit="1" customWidth="1"/>
    <col min="8204" max="8205" width="8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6" width="7.625" style="568" bestFit="1" customWidth="1"/>
    <col min="8457" max="8457" width="5" style="568" bestFit="1" customWidth="1"/>
    <col min="8458" max="8458" width="8.375" style="568" bestFit="1" customWidth="1"/>
    <col min="8459" max="8459" width="18.75" style="568" bestFit="1" customWidth="1"/>
    <col min="8460" max="8461" width="8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2" width="7.625" style="568" bestFit="1" customWidth="1"/>
    <col min="8713" max="8713" width="5" style="568" bestFit="1" customWidth="1"/>
    <col min="8714" max="8714" width="8.375" style="568" bestFit="1" customWidth="1"/>
    <col min="8715" max="8715" width="18.75" style="568" bestFit="1" customWidth="1"/>
    <col min="8716" max="8717" width="8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8" width="7.625" style="568" bestFit="1" customWidth="1"/>
    <col min="8969" max="8969" width="5" style="568" bestFit="1" customWidth="1"/>
    <col min="8970" max="8970" width="8.375" style="568" bestFit="1" customWidth="1"/>
    <col min="8971" max="8971" width="18.75" style="568" bestFit="1" customWidth="1"/>
    <col min="8972" max="8973" width="8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4" width="7.625" style="568" bestFit="1" customWidth="1"/>
    <col min="9225" max="9225" width="5" style="568" bestFit="1" customWidth="1"/>
    <col min="9226" max="9226" width="8.375" style="568" bestFit="1" customWidth="1"/>
    <col min="9227" max="9227" width="18.75" style="568" bestFit="1" customWidth="1"/>
    <col min="9228" max="9229" width="8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80" width="7.625" style="568" bestFit="1" customWidth="1"/>
    <col min="9481" max="9481" width="5" style="568" bestFit="1" customWidth="1"/>
    <col min="9482" max="9482" width="8.375" style="568" bestFit="1" customWidth="1"/>
    <col min="9483" max="9483" width="18.75" style="568" bestFit="1" customWidth="1"/>
    <col min="9484" max="9485" width="8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6" width="7.625" style="568" bestFit="1" customWidth="1"/>
    <col min="9737" max="9737" width="5" style="568" bestFit="1" customWidth="1"/>
    <col min="9738" max="9738" width="8.375" style="568" bestFit="1" customWidth="1"/>
    <col min="9739" max="9739" width="18.75" style="568" bestFit="1" customWidth="1"/>
    <col min="9740" max="9741" width="8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2" width="7.625" style="568" bestFit="1" customWidth="1"/>
    <col min="9993" max="9993" width="5" style="568" bestFit="1" customWidth="1"/>
    <col min="9994" max="9994" width="8.375" style="568" bestFit="1" customWidth="1"/>
    <col min="9995" max="9995" width="18.75" style="568" bestFit="1" customWidth="1"/>
    <col min="9996" max="9997" width="8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8" width="7.625" style="568" bestFit="1" customWidth="1"/>
    <col min="10249" max="10249" width="5" style="568" bestFit="1" customWidth="1"/>
    <col min="10250" max="10250" width="8.375" style="568" bestFit="1" customWidth="1"/>
    <col min="10251" max="10251" width="18.75" style="568" bestFit="1" customWidth="1"/>
    <col min="10252" max="10253" width="8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4" width="7.625" style="568" bestFit="1" customWidth="1"/>
    <col min="10505" max="10505" width="5" style="568" bestFit="1" customWidth="1"/>
    <col min="10506" max="10506" width="8.375" style="568" bestFit="1" customWidth="1"/>
    <col min="10507" max="10507" width="18.75" style="568" bestFit="1" customWidth="1"/>
    <col min="10508" max="10509" width="8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60" width="7.625" style="568" bestFit="1" customWidth="1"/>
    <col min="10761" max="10761" width="5" style="568" bestFit="1" customWidth="1"/>
    <col min="10762" max="10762" width="8.375" style="568" bestFit="1" customWidth="1"/>
    <col min="10763" max="10763" width="18.75" style="568" bestFit="1" customWidth="1"/>
    <col min="10764" max="10765" width="8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6" width="7.625" style="568" bestFit="1" customWidth="1"/>
    <col min="11017" max="11017" width="5" style="568" bestFit="1" customWidth="1"/>
    <col min="11018" max="11018" width="8.375" style="568" bestFit="1" customWidth="1"/>
    <col min="11019" max="11019" width="18.75" style="568" bestFit="1" customWidth="1"/>
    <col min="11020" max="11021" width="8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2" width="7.625" style="568" bestFit="1" customWidth="1"/>
    <col min="11273" max="11273" width="5" style="568" bestFit="1" customWidth="1"/>
    <col min="11274" max="11274" width="8.375" style="568" bestFit="1" customWidth="1"/>
    <col min="11275" max="11275" width="18.75" style="568" bestFit="1" customWidth="1"/>
    <col min="11276" max="11277" width="8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8" width="7.625" style="568" bestFit="1" customWidth="1"/>
    <col min="11529" max="11529" width="5" style="568" bestFit="1" customWidth="1"/>
    <col min="11530" max="11530" width="8.375" style="568" bestFit="1" customWidth="1"/>
    <col min="11531" max="11531" width="18.75" style="568" bestFit="1" customWidth="1"/>
    <col min="11532" max="11533" width="8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4" width="7.625" style="568" bestFit="1" customWidth="1"/>
    <col min="11785" max="11785" width="5" style="568" bestFit="1" customWidth="1"/>
    <col min="11786" max="11786" width="8.375" style="568" bestFit="1" customWidth="1"/>
    <col min="11787" max="11787" width="18.75" style="568" bestFit="1" customWidth="1"/>
    <col min="11788" max="11789" width="8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40" width="7.625" style="568" bestFit="1" customWidth="1"/>
    <col min="12041" max="12041" width="5" style="568" bestFit="1" customWidth="1"/>
    <col min="12042" max="12042" width="8.375" style="568" bestFit="1" customWidth="1"/>
    <col min="12043" max="12043" width="18.75" style="568" bestFit="1" customWidth="1"/>
    <col min="12044" max="12045" width="8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6" width="7.625" style="568" bestFit="1" customWidth="1"/>
    <col min="12297" max="12297" width="5" style="568" bestFit="1" customWidth="1"/>
    <col min="12298" max="12298" width="8.375" style="568" bestFit="1" customWidth="1"/>
    <col min="12299" max="12299" width="18.75" style="568" bestFit="1" customWidth="1"/>
    <col min="12300" max="12301" width="8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2" width="7.625" style="568" bestFit="1" customWidth="1"/>
    <col min="12553" max="12553" width="5" style="568" bestFit="1" customWidth="1"/>
    <col min="12554" max="12554" width="8.375" style="568" bestFit="1" customWidth="1"/>
    <col min="12555" max="12555" width="18.75" style="568" bestFit="1" customWidth="1"/>
    <col min="12556" max="12557" width="8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8" width="7.625" style="568" bestFit="1" customWidth="1"/>
    <col min="12809" max="12809" width="5" style="568" bestFit="1" customWidth="1"/>
    <col min="12810" max="12810" width="8.375" style="568" bestFit="1" customWidth="1"/>
    <col min="12811" max="12811" width="18.75" style="568" bestFit="1" customWidth="1"/>
    <col min="12812" max="12813" width="8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4" width="7.625" style="568" bestFit="1" customWidth="1"/>
    <col min="13065" max="13065" width="5" style="568" bestFit="1" customWidth="1"/>
    <col min="13066" max="13066" width="8.375" style="568" bestFit="1" customWidth="1"/>
    <col min="13067" max="13067" width="18.75" style="568" bestFit="1" customWidth="1"/>
    <col min="13068" max="13069" width="8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20" width="7.625" style="568" bestFit="1" customWidth="1"/>
    <col min="13321" max="13321" width="5" style="568" bestFit="1" customWidth="1"/>
    <col min="13322" max="13322" width="8.375" style="568" bestFit="1" customWidth="1"/>
    <col min="13323" max="13323" width="18.75" style="568" bestFit="1" customWidth="1"/>
    <col min="13324" max="13325" width="8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6" width="7.625" style="568" bestFit="1" customWidth="1"/>
    <col min="13577" max="13577" width="5" style="568" bestFit="1" customWidth="1"/>
    <col min="13578" max="13578" width="8.375" style="568" bestFit="1" customWidth="1"/>
    <col min="13579" max="13579" width="18.75" style="568" bestFit="1" customWidth="1"/>
    <col min="13580" max="13581" width="8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2" width="7.625" style="568" bestFit="1" customWidth="1"/>
    <col min="13833" max="13833" width="5" style="568" bestFit="1" customWidth="1"/>
    <col min="13834" max="13834" width="8.375" style="568" bestFit="1" customWidth="1"/>
    <col min="13835" max="13835" width="18.75" style="568" bestFit="1" customWidth="1"/>
    <col min="13836" max="13837" width="8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8" width="7.625" style="568" bestFit="1" customWidth="1"/>
    <col min="14089" max="14089" width="5" style="568" bestFit="1" customWidth="1"/>
    <col min="14090" max="14090" width="8.375" style="568" bestFit="1" customWidth="1"/>
    <col min="14091" max="14091" width="18.75" style="568" bestFit="1" customWidth="1"/>
    <col min="14092" max="14093" width="8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4" width="7.625" style="568" bestFit="1" customWidth="1"/>
    <col min="14345" max="14345" width="5" style="568" bestFit="1" customWidth="1"/>
    <col min="14346" max="14346" width="8.375" style="568" bestFit="1" customWidth="1"/>
    <col min="14347" max="14347" width="18.75" style="568" bestFit="1" customWidth="1"/>
    <col min="14348" max="14349" width="8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600" width="7.625" style="568" bestFit="1" customWidth="1"/>
    <col min="14601" max="14601" width="5" style="568" bestFit="1" customWidth="1"/>
    <col min="14602" max="14602" width="8.375" style="568" bestFit="1" customWidth="1"/>
    <col min="14603" max="14603" width="18.75" style="568" bestFit="1" customWidth="1"/>
    <col min="14604" max="14605" width="8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6" width="7.625" style="568" bestFit="1" customWidth="1"/>
    <col min="14857" max="14857" width="5" style="568" bestFit="1" customWidth="1"/>
    <col min="14858" max="14858" width="8.375" style="568" bestFit="1" customWidth="1"/>
    <col min="14859" max="14859" width="18.75" style="568" bestFit="1" customWidth="1"/>
    <col min="14860" max="14861" width="8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2" width="7.625" style="568" bestFit="1" customWidth="1"/>
    <col min="15113" max="15113" width="5" style="568" bestFit="1" customWidth="1"/>
    <col min="15114" max="15114" width="8.375" style="568" bestFit="1" customWidth="1"/>
    <col min="15115" max="15115" width="18.75" style="568" bestFit="1" customWidth="1"/>
    <col min="15116" max="15117" width="8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8" width="7.625" style="568" bestFit="1" customWidth="1"/>
    <col min="15369" max="15369" width="5" style="568" bestFit="1" customWidth="1"/>
    <col min="15370" max="15370" width="8.375" style="568" bestFit="1" customWidth="1"/>
    <col min="15371" max="15371" width="18.75" style="568" bestFit="1" customWidth="1"/>
    <col min="15372" max="15373" width="8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4" width="7.625" style="568" bestFit="1" customWidth="1"/>
    <col min="15625" max="15625" width="5" style="568" bestFit="1" customWidth="1"/>
    <col min="15626" max="15626" width="8.375" style="568" bestFit="1" customWidth="1"/>
    <col min="15627" max="15627" width="18.75" style="568" bestFit="1" customWidth="1"/>
    <col min="15628" max="15629" width="8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80" width="7.625" style="568" bestFit="1" customWidth="1"/>
    <col min="15881" max="15881" width="5" style="568" bestFit="1" customWidth="1"/>
    <col min="15882" max="15882" width="8.375" style="568" bestFit="1" customWidth="1"/>
    <col min="15883" max="15883" width="18.75" style="568" bestFit="1" customWidth="1"/>
    <col min="15884" max="15885" width="8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6" width="7.625" style="568" bestFit="1" customWidth="1"/>
    <col min="16137" max="16137" width="5" style="568" bestFit="1" customWidth="1"/>
    <col min="16138" max="16138" width="8.375" style="568" bestFit="1" customWidth="1"/>
    <col min="16139" max="16139" width="18.75" style="568" bestFit="1" customWidth="1"/>
    <col min="16140" max="16141" width="8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915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401</v>
      </c>
      <c r="J9" s="567" t="s">
        <v>327</v>
      </c>
      <c r="K9" s="567" t="s">
        <v>1002</v>
      </c>
      <c r="L9" s="567" t="s">
        <v>1003</v>
      </c>
      <c r="M9" s="567" t="s">
        <v>1004</v>
      </c>
      <c r="N9" s="567" t="s">
        <v>1011</v>
      </c>
      <c r="O9" s="567" t="s">
        <v>1012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0.17429398148148148</v>
      </c>
      <c r="E10" s="567">
        <v>120472</v>
      </c>
      <c r="F10" s="567" t="s">
        <v>1001</v>
      </c>
      <c r="G10" s="567" t="s">
        <v>326</v>
      </c>
      <c r="H10" s="567">
        <v>0</v>
      </c>
      <c r="I10" s="567">
        <v>401</v>
      </c>
      <c r="J10" s="567" t="s">
        <v>327</v>
      </c>
      <c r="K10" s="567" t="s">
        <v>1002</v>
      </c>
      <c r="L10" s="567" t="s">
        <v>1003</v>
      </c>
      <c r="M10" s="567" t="s">
        <v>1004</v>
      </c>
      <c r="N10" s="567" t="s">
        <v>1011</v>
      </c>
      <c r="O10" s="567" t="s">
        <v>1012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0.18541666666666667</v>
      </c>
      <c r="E11" s="567">
        <v>7688</v>
      </c>
      <c r="F11" s="567" t="s">
        <v>335</v>
      </c>
      <c r="G11" s="567">
        <v>0</v>
      </c>
      <c r="H11" s="567" t="s">
        <v>326</v>
      </c>
      <c r="I11" s="567" t="s">
        <v>336</v>
      </c>
      <c r="J11" s="567">
        <v>0</v>
      </c>
      <c r="K11" s="567" t="s">
        <v>337</v>
      </c>
      <c r="L11" s="567">
        <v>45</v>
      </c>
      <c r="M11" s="567">
        <v>1</v>
      </c>
    </row>
    <row r="12" spans="1:18" ht="15" x14ac:dyDescent="0.2">
      <c r="A12" s="567"/>
      <c r="B12" s="567"/>
      <c r="C12" s="567"/>
      <c r="D12" s="569">
        <v>0.18888888888888888</v>
      </c>
      <c r="E12" s="567">
        <v>0</v>
      </c>
      <c r="F12" s="567" t="s">
        <v>1001</v>
      </c>
      <c r="G12" s="567" t="s">
        <v>326</v>
      </c>
      <c r="H12" s="567">
        <v>0</v>
      </c>
      <c r="I12" s="567">
        <v>97</v>
      </c>
      <c r="J12" s="567" t="s">
        <v>1010</v>
      </c>
      <c r="K12" s="567" t="s">
        <v>1002</v>
      </c>
      <c r="L12" s="567" t="s">
        <v>1003</v>
      </c>
      <c r="M12" s="567" t="s">
        <v>1004</v>
      </c>
      <c r="N12" s="567" t="s">
        <v>1011</v>
      </c>
      <c r="O12" s="567" t="s">
        <v>1012</v>
      </c>
      <c r="P12" s="567" t="s">
        <v>1007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0.29986111111111108</v>
      </c>
      <c r="E13" s="567">
        <v>76704</v>
      </c>
      <c r="F13" s="567" t="s">
        <v>1001</v>
      </c>
      <c r="G13" s="567" t="s">
        <v>326</v>
      </c>
      <c r="H13" s="567">
        <v>0</v>
      </c>
      <c r="I13" s="567">
        <v>97</v>
      </c>
      <c r="J13" s="567" t="s">
        <v>1010</v>
      </c>
      <c r="K13" s="567" t="s">
        <v>1002</v>
      </c>
      <c r="L13" s="567" t="s">
        <v>1003</v>
      </c>
      <c r="M13" s="567" t="s">
        <v>1004</v>
      </c>
      <c r="N13" s="567" t="s">
        <v>1011</v>
      </c>
      <c r="O13" s="567" t="s">
        <v>1012</v>
      </c>
      <c r="P13" s="567" t="s">
        <v>1009</v>
      </c>
      <c r="Q13" s="567" t="s">
        <v>1008</v>
      </c>
      <c r="R13" s="567">
        <v>80</v>
      </c>
    </row>
    <row r="14" spans="1:18" ht="15" x14ac:dyDescent="0.2">
      <c r="A14" s="567"/>
      <c r="B14" s="567"/>
      <c r="C14" s="567"/>
      <c r="D14" s="569">
        <v>0.30694444444444441</v>
      </c>
      <c r="E14" s="567">
        <v>4896</v>
      </c>
      <c r="F14" s="567" t="s">
        <v>1001</v>
      </c>
      <c r="G14" s="567" t="s">
        <v>326</v>
      </c>
      <c r="H14" s="567">
        <v>0</v>
      </c>
      <c r="I14" s="567">
        <v>39</v>
      </c>
      <c r="J14" s="567" t="s">
        <v>327</v>
      </c>
      <c r="K14" s="567" t="s">
        <v>1002</v>
      </c>
      <c r="L14" s="567" t="s">
        <v>1003</v>
      </c>
      <c r="M14" s="567" t="s">
        <v>1004</v>
      </c>
      <c r="N14" s="567" t="s">
        <v>1011</v>
      </c>
      <c r="O14" s="567" t="s">
        <v>1012</v>
      </c>
      <c r="P14" s="567" t="s">
        <v>1007</v>
      </c>
      <c r="Q14" s="567" t="s">
        <v>1008</v>
      </c>
      <c r="R14" s="567">
        <v>80</v>
      </c>
    </row>
    <row r="15" spans="1:18" ht="15" x14ac:dyDescent="0.2">
      <c r="A15" s="567"/>
      <c r="B15" s="567"/>
      <c r="C15" s="567"/>
      <c r="D15" s="569">
        <v>0.33109953703703704</v>
      </c>
      <c r="E15" s="567">
        <v>16696</v>
      </c>
      <c r="F15" s="567" t="s">
        <v>1001</v>
      </c>
      <c r="G15" s="567" t="s">
        <v>326</v>
      </c>
      <c r="H15" s="567">
        <v>0</v>
      </c>
      <c r="I15" s="567">
        <v>39</v>
      </c>
      <c r="J15" s="567" t="s">
        <v>327</v>
      </c>
      <c r="K15" s="567" t="s">
        <v>1002</v>
      </c>
      <c r="L15" s="567" t="s">
        <v>1003</v>
      </c>
      <c r="M15" s="567" t="s">
        <v>1004</v>
      </c>
      <c r="N15" s="567" t="s">
        <v>1011</v>
      </c>
      <c r="O15" s="567" t="s">
        <v>1012</v>
      </c>
      <c r="P15" s="567" t="s">
        <v>1009</v>
      </c>
      <c r="Q15" s="567" t="s">
        <v>1008</v>
      </c>
      <c r="R15" s="567">
        <v>80</v>
      </c>
    </row>
    <row r="16" spans="1:18" ht="15" x14ac:dyDescent="0.2">
      <c r="A16" s="567"/>
      <c r="B16" s="567"/>
      <c r="C16" s="567"/>
      <c r="D16" s="569">
        <v>0.33109953703703704</v>
      </c>
      <c r="E16" s="567">
        <v>0</v>
      </c>
      <c r="F16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203"/>
  <sheetViews>
    <sheetView zoomScaleNormal="100" workbookViewId="0"/>
  </sheetViews>
  <sheetFormatPr defaultColWidth="8.875" defaultRowHeight="15" x14ac:dyDescent="0.2"/>
  <cols>
    <col min="1" max="2" width="8.875" style="14"/>
    <col min="3" max="3" width="41.625" style="14" bestFit="1" customWidth="1"/>
    <col min="4" max="5" width="20.375" style="14" bestFit="1" customWidth="1"/>
    <col min="6" max="6" width="16.375" style="14" bestFit="1" customWidth="1"/>
    <col min="7" max="7" width="16.125" style="14" bestFit="1" customWidth="1"/>
    <col min="8" max="8" width="15.375" style="14" bestFit="1" customWidth="1"/>
    <col min="9" max="13" width="22.75" style="14" bestFit="1" customWidth="1"/>
    <col min="14" max="14" width="19.75" style="14" bestFit="1" customWidth="1"/>
    <col min="15" max="15" width="22.375" style="14" bestFit="1" customWidth="1"/>
    <col min="16" max="16" width="18.375" style="14" bestFit="1" customWidth="1"/>
    <col min="17" max="16384" width="8.875" style="14"/>
  </cols>
  <sheetData>
    <row r="7" spans="1:15" x14ac:dyDescent="0.2">
      <c r="C7" s="14" t="s">
        <v>671</v>
      </c>
      <c r="D7" s="14" t="s">
        <v>18</v>
      </c>
      <c r="E7" s="14" t="s">
        <v>20</v>
      </c>
      <c r="F7" s="14" t="s">
        <v>702</v>
      </c>
      <c r="G7" s="14" t="s">
        <v>703</v>
      </c>
      <c r="H7" s="14" t="s">
        <v>704</v>
      </c>
      <c r="I7" s="14" t="s">
        <v>705</v>
      </c>
      <c r="J7" s="14" t="s">
        <v>706</v>
      </c>
      <c r="K7" s="14" t="s">
        <v>707</v>
      </c>
      <c r="L7" s="14" t="s">
        <v>708</v>
      </c>
      <c r="M7" s="14" t="s">
        <v>709</v>
      </c>
      <c r="N7" s="14" t="s">
        <v>710</v>
      </c>
      <c r="O7" s="14" t="s">
        <v>711</v>
      </c>
    </row>
    <row r="9" spans="1:15" x14ac:dyDescent="0.2">
      <c r="A9" s="21"/>
      <c r="B9" s="21"/>
      <c r="C9" s="14" t="s">
        <v>364</v>
      </c>
      <c r="D9" s="14" t="s">
        <v>712</v>
      </c>
      <c r="E9" s="14" t="s">
        <v>713</v>
      </c>
      <c r="F9" s="14">
        <v>3.3000000000000002E-2</v>
      </c>
      <c r="G9" s="14">
        <v>829.36669900000004</v>
      </c>
      <c r="H9" s="14">
        <v>352.501465</v>
      </c>
      <c r="I9" s="14">
        <v>3.3000000000000002E-2</v>
      </c>
      <c r="J9" s="14">
        <v>0</v>
      </c>
      <c r="K9" s="14">
        <v>0</v>
      </c>
      <c r="L9" s="14">
        <v>0</v>
      </c>
      <c r="M9" s="14">
        <v>0</v>
      </c>
      <c r="N9" s="14">
        <v>3.3000000000000002E-2</v>
      </c>
      <c r="O9" s="14">
        <v>99.761903000000004</v>
      </c>
    </row>
    <row r="10" spans="1:15" x14ac:dyDescent="0.2">
      <c r="A10" s="21"/>
      <c r="B10" s="21">
        <v>1</v>
      </c>
      <c r="C10" s="14" t="s">
        <v>365</v>
      </c>
      <c r="D10" s="14" t="s">
        <v>714</v>
      </c>
      <c r="E10" s="14" t="s">
        <v>715</v>
      </c>
      <c r="F10" s="14">
        <v>22</v>
      </c>
      <c r="G10" s="14">
        <v>1687.573975</v>
      </c>
      <c r="H10" s="14">
        <v>31.734096999999998</v>
      </c>
      <c r="I10" s="14">
        <v>0.20200000000000001</v>
      </c>
      <c r="J10" s="14">
        <v>9.5000000000000001E-2</v>
      </c>
      <c r="K10" s="14">
        <v>0.14299999999999999</v>
      </c>
      <c r="L10" s="14">
        <v>21.472000000000001</v>
      </c>
      <c r="M10" s="14">
        <v>8.7999999999999995E-2</v>
      </c>
      <c r="N10" s="14">
        <v>14.606999999999999</v>
      </c>
      <c r="O10" s="14">
        <v>66.395157999999995</v>
      </c>
    </row>
    <row r="11" spans="1:15" x14ac:dyDescent="0.2">
      <c r="A11" s="21"/>
      <c r="B11" s="21">
        <v>2</v>
      </c>
      <c r="C11" s="14" t="s">
        <v>369</v>
      </c>
      <c r="D11" s="14" t="s">
        <v>716</v>
      </c>
      <c r="E11" s="14" t="s">
        <v>717</v>
      </c>
      <c r="F11" s="14">
        <v>8.3829999999999991</v>
      </c>
      <c r="G11" s="14">
        <v>1129.5280760000001</v>
      </c>
      <c r="H11" s="14">
        <v>661.591003</v>
      </c>
      <c r="I11" s="14">
        <v>8.3829999999999991</v>
      </c>
      <c r="J11" s="14">
        <v>0</v>
      </c>
      <c r="K11" s="14">
        <v>0</v>
      </c>
      <c r="L11" s="14">
        <v>0</v>
      </c>
      <c r="M11" s="14">
        <v>0</v>
      </c>
      <c r="N11" s="14">
        <v>8.3829999999999991</v>
      </c>
      <c r="O11" s="14">
        <v>100</v>
      </c>
    </row>
    <row r="12" spans="1:15" x14ac:dyDescent="0.2">
      <c r="A12" s="477">
        <v>1</v>
      </c>
      <c r="B12" s="477">
        <v>3</v>
      </c>
      <c r="C12" s="14" t="s">
        <v>371</v>
      </c>
      <c r="D12" s="14" t="s">
        <v>718</v>
      </c>
      <c r="E12" s="14" t="s">
        <v>719</v>
      </c>
      <c r="F12" s="14">
        <v>8</v>
      </c>
      <c r="G12" s="14">
        <v>860.94720500000005</v>
      </c>
      <c r="H12" s="14">
        <v>304.66607699999997</v>
      </c>
      <c r="I12" s="14">
        <v>8</v>
      </c>
      <c r="J12" s="14">
        <v>0</v>
      </c>
      <c r="K12" s="14">
        <v>0</v>
      </c>
      <c r="L12" s="14">
        <v>0</v>
      </c>
      <c r="M12" s="14">
        <v>0</v>
      </c>
      <c r="N12" s="14">
        <v>8</v>
      </c>
      <c r="O12" s="14">
        <v>100</v>
      </c>
    </row>
    <row r="13" spans="1:15" x14ac:dyDescent="0.2">
      <c r="A13" s="21"/>
      <c r="B13" s="21">
        <v>4</v>
      </c>
      <c r="C13" s="14" t="s">
        <v>372</v>
      </c>
      <c r="D13" s="14" t="s">
        <v>720</v>
      </c>
      <c r="E13" s="14" t="s">
        <v>721</v>
      </c>
      <c r="F13" s="14">
        <v>3.1669999999999998</v>
      </c>
      <c r="G13" s="14">
        <v>1083.656616</v>
      </c>
      <c r="H13" s="14">
        <v>214.08990499999999</v>
      </c>
      <c r="I13" s="14">
        <v>3.1669999999999998</v>
      </c>
      <c r="J13" s="14">
        <v>0</v>
      </c>
      <c r="K13" s="14">
        <v>0</v>
      </c>
      <c r="L13" s="14">
        <v>0</v>
      </c>
      <c r="M13" s="14">
        <v>0</v>
      </c>
      <c r="N13" s="14">
        <v>2.4260000000000002</v>
      </c>
      <c r="O13" s="14">
        <v>76.618647999999993</v>
      </c>
    </row>
    <row r="14" spans="1:15" x14ac:dyDescent="0.2">
      <c r="A14" s="477">
        <v>2</v>
      </c>
      <c r="B14" s="477">
        <v>5</v>
      </c>
      <c r="C14" s="14" t="s">
        <v>373</v>
      </c>
      <c r="D14" s="14" t="s">
        <v>722</v>
      </c>
      <c r="E14" s="14" t="s">
        <v>723</v>
      </c>
      <c r="F14" s="14">
        <v>8</v>
      </c>
      <c r="G14" s="14">
        <v>1075.571533</v>
      </c>
      <c r="H14" s="14">
        <v>910.62896699999999</v>
      </c>
      <c r="I14" s="14">
        <v>8</v>
      </c>
      <c r="J14" s="14">
        <v>0</v>
      </c>
      <c r="K14" s="14">
        <v>0</v>
      </c>
      <c r="L14" s="14">
        <v>0</v>
      </c>
      <c r="M14" s="14">
        <v>0</v>
      </c>
      <c r="N14" s="14">
        <v>8</v>
      </c>
      <c r="O14" s="14">
        <v>100</v>
      </c>
    </row>
    <row r="15" spans="1:15" x14ac:dyDescent="0.2">
      <c r="A15" s="21"/>
      <c r="B15" s="21">
        <v>6</v>
      </c>
      <c r="C15" s="14" t="s">
        <v>374</v>
      </c>
      <c r="D15" s="14" t="s">
        <v>724</v>
      </c>
      <c r="E15" s="14" t="s">
        <v>725</v>
      </c>
      <c r="F15" s="14">
        <v>11.282999999999999</v>
      </c>
      <c r="G15" s="14">
        <v>1643.262939</v>
      </c>
      <c r="H15" s="14">
        <v>54.011718999999999</v>
      </c>
      <c r="I15" s="14">
        <v>4.8000000000000001E-2</v>
      </c>
      <c r="J15" s="14">
        <v>1.7999999999999999E-2</v>
      </c>
      <c r="K15" s="14">
        <v>0.02</v>
      </c>
      <c r="L15" s="14">
        <v>11.182</v>
      </c>
      <c r="M15" s="14">
        <v>1.4999999999999999E-2</v>
      </c>
      <c r="N15" s="14">
        <v>2.7669999999999999</v>
      </c>
      <c r="O15" s="14">
        <v>24.525321000000002</v>
      </c>
    </row>
    <row r="16" spans="1:15" x14ac:dyDescent="0.2">
      <c r="A16" s="21"/>
      <c r="B16" s="21">
        <v>7</v>
      </c>
      <c r="C16" s="14" t="s">
        <v>378</v>
      </c>
      <c r="D16" s="14" t="s">
        <v>725</v>
      </c>
      <c r="E16" s="14" t="s">
        <v>726</v>
      </c>
      <c r="F16" s="14">
        <v>2.5</v>
      </c>
      <c r="G16" s="14">
        <v>1738.4614260000001</v>
      </c>
      <c r="H16" s="14">
        <v>109.549271</v>
      </c>
      <c r="I16" s="14">
        <v>2.2919999999999998</v>
      </c>
      <c r="J16" s="14">
        <v>0.02</v>
      </c>
      <c r="K16" s="14">
        <v>6.7000000000000004E-2</v>
      </c>
      <c r="L16" s="14">
        <v>6.7000000000000004E-2</v>
      </c>
      <c r="M16" s="14">
        <v>5.5E-2</v>
      </c>
      <c r="N16" s="14">
        <v>2.3849999999999998</v>
      </c>
      <c r="O16" s="14">
        <v>95.416498000000004</v>
      </c>
    </row>
    <row r="17" spans="1:15" x14ac:dyDescent="0.2">
      <c r="A17" s="21"/>
      <c r="B17" s="21">
        <v>8</v>
      </c>
      <c r="C17" s="14" t="s">
        <v>379</v>
      </c>
      <c r="D17" s="14" t="s">
        <v>726</v>
      </c>
      <c r="E17" s="14" t="s">
        <v>727</v>
      </c>
      <c r="F17" s="14">
        <v>2.5</v>
      </c>
      <c r="G17" s="14">
        <v>1682.3546140000001</v>
      </c>
      <c r="H17" s="14">
        <v>1.761641</v>
      </c>
      <c r="I17" s="14">
        <v>0</v>
      </c>
      <c r="J17" s="14">
        <v>0.93899999999999995</v>
      </c>
      <c r="K17" s="14">
        <v>1.363</v>
      </c>
      <c r="L17" s="14">
        <v>0.105</v>
      </c>
      <c r="M17" s="14">
        <v>9.2999999999999999E-2</v>
      </c>
      <c r="N17" s="14">
        <v>1.931</v>
      </c>
      <c r="O17" s="14">
        <v>77.222370999999995</v>
      </c>
    </row>
    <row r="18" spans="1:15" x14ac:dyDescent="0.2">
      <c r="A18" s="21"/>
      <c r="B18" s="21">
        <v>9</v>
      </c>
      <c r="C18" s="14" t="s">
        <v>380</v>
      </c>
      <c r="D18" s="14" t="s">
        <v>727</v>
      </c>
      <c r="E18" s="14" t="s">
        <v>728</v>
      </c>
      <c r="F18" s="14">
        <v>2</v>
      </c>
      <c r="G18" s="14">
        <v>1578.1281739999999</v>
      </c>
      <c r="H18" s="14">
        <v>403.54501299999998</v>
      </c>
      <c r="I18" s="14">
        <v>1.8520000000000001</v>
      </c>
      <c r="J18" s="14">
        <v>2.1999999999999999E-2</v>
      </c>
      <c r="K18" s="14">
        <v>3.5000000000000003E-2</v>
      </c>
      <c r="L18" s="14">
        <v>9.0999999999999998E-2</v>
      </c>
      <c r="M18" s="14">
        <v>0</v>
      </c>
      <c r="N18" s="14">
        <v>1.9039999999999999</v>
      </c>
      <c r="O18" s="14">
        <v>95.216780999999997</v>
      </c>
    </row>
    <row r="19" spans="1:15" x14ac:dyDescent="0.2">
      <c r="A19" s="21"/>
      <c r="B19" s="21">
        <v>10</v>
      </c>
      <c r="C19" s="14" t="s">
        <v>384</v>
      </c>
      <c r="D19" s="14" t="s">
        <v>729</v>
      </c>
      <c r="E19" s="14" t="s">
        <v>730</v>
      </c>
      <c r="F19" s="14">
        <v>1.7669999999999999</v>
      </c>
      <c r="G19" s="14">
        <v>1655.7489009999999</v>
      </c>
      <c r="H19" s="14">
        <v>0.135126</v>
      </c>
      <c r="I19" s="14">
        <v>9.8000000000000004E-2</v>
      </c>
      <c r="J19" s="14">
        <v>0.121</v>
      </c>
      <c r="K19" s="14">
        <v>0.41299999999999998</v>
      </c>
      <c r="L19" s="14">
        <v>0.45500000000000002</v>
      </c>
      <c r="M19" s="14">
        <v>0.68</v>
      </c>
      <c r="N19" s="14">
        <v>1.462</v>
      </c>
      <c r="O19" s="14">
        <v>82.771832000000003</v>
      </c>
    </row>
    <row r="20" spans="1:15" x14ac:dyDescent="0.2">
      <c r="A20" s="21"/>
      <c r="B20" s="21">
        <v>11</v>
      </c>
      <c r="C20" s="14" t="s">
        <v>386</v>
      </c>
      <c r="D20" s="14" t="s">
        <v>730</v>
      </c>
      <c r="E20" s="14" t="s">
        <v>731</v>
      </c>
      <c r="F20" s="14">
        <v>2.6669999999999998</v>
      </c>
      <c r="G20" s="14">
        <v>1293.9643550000001</v>
      </c>
      <c r="H20" s="14">
        <v>276.11782799999997</v>
      </c>
      <c r="I20" s="14">
        <v>2.3769999999999998</v>
      </c>
      <c r="J20" s="14">
        <v>0.28999999999999998</v>
      </c>
      <c r="K20" s="14">
        <v>0</v>
      </c>
      <c r="L20" s="14">
        <v>0</v>
      </c>
      <c r="M20" s="14">
        <v>0</v>
      </c>
      <c r="N20" s="14">
        <v>2.6360000000000001</v>
      </c>
      <c r="O20" s="14">
        <v>98.849909999999994</v>
      </c>
    </row>
    <row r="21" spans="1:15" x14ac:dyDescent="0.2">
      <c r="A21" s="477">
        <v>3</v>
      </c>
      <c r="B21" s="477">
        <v>12</v>
      </c>
      <c r="C21" s="14" t="s">
        <v>389</v>
      </c>
      <c r="D21" s="14" t="s">
        <v>732</v>
      </c>
      <c r="E21" s="14" t="s">
        <v>733</v>
      </c>
      <c r="F21" s="14">
        <v>16.75</v>
      </c>
      <c r="G21" s="14">
        <v>1823.0032960000001</v>
      </c>
      <c r="H21" s="14">
        <v>296.35607900000002</v>
      </c>
      <c r="I21" s="14">
        <v>0</v>
      </c>
      <c r="J21" s="14">
        <v>0</v>
      </c>
      <c r="K21" s="14">
        <v>8.2639999999999993</v>
      </c>
      <c r="L21" s="14">
        <v>2.363</v>
      </c>
      <c r="M21" s="14">
        <v>6.1230000000000002</v>
      </c>
      <c r="N21" s="14">
        <v>6.7539999999999996</v>
      </c>
      <c r="O21" s="14">
        <v>40.325141000000002</v>
      </c>
    </row>
    <row r="22" spans="1:15" x14ac:dyDescent="0.2">
      <c r="A22" s="477">
        <v>4</v>
      </c>
      <c r="B22" s="477">
        <v>13</v>
      </c>
      <c r="C22" s="14" t="s">
        <v>390</v>
      </c>
      <c r="D22" s="14" t="s">
        <v>734</v>
      </c>
      <c r="E22" s="14" t="s">
        <v>735</v>
      </c>
      <c r="F22" s="14">
        <v>7</v>
      </c>
      <c r="G22" s="14">
        <v>1709.715332</v>
      </c>
      <c r="H22" s="14">
        <v>299.51004</v>
      </c>
      <c r="I22" s="14">
        <v>0.21299999999999999</v>
      </c>
      <c r="J22" s="14">
        <v>9.5000000000000001E-2</v>
      </c>
      <c r="K22" s="14">
        <v>0.33300000000000002</v>
      </c>
      <c r="L22" s="14">
        <v>2.5459999999999998</v>
      </c>
      <c r="M22" s="14">
        <v>3.8119999999999998</v>
      </c>
      <c r="N22" s="14">
        <v>5.05</v>
      </c>
      <c r="O22" s="14">
        <v>72.144485000000003</v>
      </c>
    </row>
    <row r="23" spans="1:15" x14ac:dyDescent="0.2">
      <c r="A23" s="21"/>
      <c r="B23" s="21">
        <v>14</v>
      </c>
      <c r="C23" s="14" t="s">
        <v>391</v>
      </c>
      <c r="D23" s="14" t="s">
        <v>736</v>
      </c>
      <c r="E23" s="14" t="s">
        <v>737</v>
      </c>
      <c r="F23" s="14">
        <v>1.956</v>
      </c>
      <c r="G23" s="14">
        <v>1340.9379879999999</v>
      </c>
      <c r="H23" s="14">
        <v>387.65106200000002</v>
      </c>
      <c r="I23" s="14">
        <v>0</v>
      </c>
      <c r="J23" s="14">
        <v>1.956</v>
      </c>
      <c r="K23" s="14">
        <v>0</v>
      </c>
      <c r="L23" s="14">
        <v>0</v>
      </c>
      <c r="M23" s="14">
        <v>0</v>
      </c>
      <c r="N23" s="14">
        <v>0.70899999999999996</v>
      </c>
      <c r="O23" s="14">
        <v>36.234242000000002</v>
      </c>
    </row>
    <row r="24" spans="1:15" x14ac:dyDescent="0.2">
      <c r="A24" s="21"/>
      <c r="B24" s="21">
        <v>15</v>
      </c>
      <c r="C24" s="14" t="s">
        <v>392</v>
      </c>
      <c r="D24" s="14" t="s">
        <v>737</v>
      </c>
      <c r="E24" s="14" t="s">
        <v>738</v>
      </c>
      <c r="F24" s="14">
        <v>5</v>
      </c>
      <c r="G24" s="14">
        <v>1339.4210210000001</v>
      </c>
      <c r="H24" s="14">
        <v>415.80346700000001</v>
      </c>
      <c r="I24" s="14">
        <v>0</v>
      </c>
      <c r="J24" s="14">
        <v>5</v>
      </c>
      <c r="K24" s="14">
        <v>0</v>
      </c>
      <c r="L24" s="14">
        <v>0</v>
      </c>
      <c r="M24" s="14">
        <v>0</v>
      </c>
      <c r="N24" s="14">
        <v>0.1</v>
      </c>
      <c r="O24" s="14">
        <v>2</v>
      </c>
    </row>
    <row r="25" spans="1:15" x14ac:dyDescent="0.2">
      <c r="A25" s="21"/>
      <c r="B25" s="21">
        <v>16</v>
      </c>
      <c r="C25" s="14" t="s">
        <v>393</v>
      </c>
      <c r="D25" s="14" t="s">
        <v>738</v>
      </c>
      <c r="E25" s="14" t="s">
        <v>739</v>
      </c>
      <c r="F25" s="14">
        <v>4</v>
      </c>
      <c r="G25" s="14">
        <v>1395.337158</v>
      </c>
      <c r="H25" s="14">
        <v>364.708191</v>
      </c>
      <c r="I25" s="14">
        <v>0</v>
      </c>
      <c r="J25" s="14">
        <v>3.9630000000000001</v>
      </c>
      <c r="K25" s="14">
        <v>3.6999999999999998E-2</v>
      </c>
      <c r="L25" s="14">
        <v>0</v>
      </c>
      <c r="M25" s="14">
        <v>0</v>
      </c>
      <c r="N25" s="14">
        <v>1.8049999999999999</v>
      </c>
      <c r="O25" s="14">
        <v>45.134664000000001</v>
      </c>
    </row>
    <row r="26" spans="1:15" x14ac:dyDescent="0.2">
      <c r="A26" s="21"/>
      <c r="B26" s="21">
        <v>17</v>
      </c>
      <c r="C26" s="14" t="s">
        <v>394</v>
      </c>
      <c r="D26" s="14" t="s">
        <v>739</v>
      </c>
      <c r="E26" s="14" t="s">
        <v>740</v>
      </c>
      <c r="F26" s="14">
        <v>2.75</v>
      </c>
      <c r="G26" s="14">
        <v>1495.217529</v>
      </c>
      <c r="H26" s="14">
        <v>333.17309599999999</v>
      </c>
      <c r="I26" s="14">
        <v>8.0000000000000002E-3</v>
      </c>
      <c r="J26" s="14">
        <v>1.415</v>
      </c>
      <c r="K26" s="14">
        <v>1.31</v>
      </c>
      <c r="L26" s="14">
        <v>1.7000000000000001E-2</v>
      </c>
      <c r="M26" s="14">
        <v>0</v>
      </c>
      <c r="N26" s="14">
        <v>1.4710000000000001</v>
      </c>
      <c r="O26" s="14">
        <v>53.505439000000003</v>
      </c>
    </row>
    <row r="27" spans="1:15" x14ac:dyDescent="0.2">
      <c r="A27" s="21"/>
      <c r="B27" s="21">
        <v>18</v>
      </c>
      <c r="C27" s="14" t="s">
        <v>395</v>
      </c>
      <c r="D27" s="14" t="s">
        <v>740</v>
      </c>
      <c r="E27" s="14" t="s">
        <v>741</v>
      </c>
      <c r="F27" s="14">
        <v>1.75</v>
      </c>
      <c r="G27" s="14">
        <v>1518.9350589999999</v>
      </c>
      <c r="H27" s="14">
        <v>250.718964</v>
      </c>
      <c r="I27" s="14">
        <v>0</v>
      </c>
      <c r="J27" s="14">
        <v>1.2999999999999999E-2</v>
      </c>
      <c r="K27" s="14">
        <v>1.429</v>
      </c>
      <c r="L27" s="14">
        <v>0.308</v>
      </c>
      <c r="M27" s="14">
        <v>0</v>
      </c>
      <c r="N27" s="14">
        <v>1.1259999999999999</v>
      </c>
      <c r="O27" s="14">
        <v>64.347541000000007</v>
      </c>
    </row>
    <row r="28" spans="1:15" x14ac:dyDescent="0.2">
      <c r="A28" s="21"/>
      <c r="B28" s="21">
        <v>19</v>
      </c>
      <c r="C28" s="14" t="s">
        <v>396</v>
      </c>
      <c r="D28" s="14" t="s">
        <v>741</v>
      </c>
      <c r="E28" s="14" t="s">
        <v>742</v>
      </c>
      <c r="F28" s="14">
        <v>0.75</v>
      </c>
      <c r="G28" s="14">
        <v>1738.4449460000001</v>
      </c>
      <c r="H28" s="14">
        <v>1.5684469999999999</v>
      </c>
      <c r="I28" s="14">
        <v>0</v>
      </c>
      <c r="J28" s="14">
        <v>5.1999999999999998E-2</v>
      </c>
      <c r="K28" s="14">
        <v>0.38700000000000001</v>
      </c>
      <c r="L28" s="14">
        <v>0.10299999999999999</v>
      </c>
      <c r="M28" s="14">
        <v>0.20799999999999999</v>
      </c>
      <c r="N28" s="14">
        <v>0.504</v>
      </c>
      <c r="O28" s="14">
        <v>67.203986999999998</v>
      </c>
    </row>
    <row r="29" spans="1:15" x14ac:dyDescent="0.2">
      <c r="A29" s="21"/>
      <c r="B29" s="21">
        <v>20</v>
      </c>
      <c r="C29" s="14" t="s">
        <v>397</v>
      </c>
      <c r="D29" s="14" t="s">
        <v>742</v>
      </c>
      <c r="E29" s="14" t="s">
        <v>743</v>
      </c>
      <c r="F29" s="14">
        <v>0.5</v>
      </c>
      <c r="G29" s="14">
        <v>1590.1403809999999</v>
      </c>
      <c r="H29" s="14">
        <v>150.4254</v>
      </c>
      <c r="I29" s="14">
        <v>0.41899999999999998</v>
      </c>
      <c r="J29" s="14">
        <v>2.3E-2</v>
      </c>
      <c r="K29" s="14">
        <v>2.1999999999999999E-2</v>
      </c>
      <c r="L29" s="14">
        <v>3.6999999999999998E-2</v>
      </c>
      <c r="M29" s="14">
        <v>0</v>
      </c>
      <c r="N29" s="14">
        <v>0.46100000000000002</v>
      </c>
      <c r="O29" s="14">
        <v>92.162794000000005</v>
      </c>
    </row>
    <row r="30" spans="1:15" x14ac:dyDescent="0.2">
      <c r="A30" s="21"/>
      <c r="B30" s="21">
        <v>21</v>
      </c>
      <c r="C30" s="14" t="s">
        <v>400</v>
      </c>
      <c r="D30" s="14" t="s">
        <v>743</v>
      </c>
      <c r="E30" s="14" t="s">
        <v>744</v>
      </c>
      <c r="F30" s="14">
        <v>0.5</v>
      </c>
      <c r="G30" s="14">
        <v>1287.7280270000001</v>
      </c>
      <c r="H30" s="14">
        <v>336.09088100000002</v>
      </c>
      <c r="I30" s="14">
        <v>0.104</v>
      </c>
      <c r="J30" s="14">
        <v>0.39600000000000002</v>
      </c>
      <c r="K30" s="14">
        <v>0</v>
      </c>
      <c r="L30" s="14">
        <v>0</v>
      </c>
      <c r="M30" s="14">
        <v>0</v>
      </c>
      <c r="N30" s="14">
        <v>0.5</v>
      </c>
      <c r="O30" s="14">
        <v>100</v>
      </c>
    </row>
    <row r="31" spans="1:15" x14ac:dyDescent="0.2">
      <c r="A31" s="21"/>
      <c r="B31" s="21">
        <v>22</v>
      </c>
      <c r="C31" s="14" t="s">
        <v>401</v>
      </c>
      <c r="D31" s="14" t="s">
        <v>744</v>
      </c>
      <c r="E31" s="14" t="s">
        <v>745</v>
      </c>
      <c r="F31" s="14">
        <v>1</v>
      </c>
      <c r="G31" s="14">
        <v>1527.2641599999999</v>
      </c>
      <c r="H31" s="14">
        <v>4.0065289999999996</v>
      </c>
      <c r="I31" s="14">
        <v>0.88400000000000001</v>
      </c>
      <c r="J31" s="14">
        <v>5.1999999999999998E-2</v>
      </c>
      <c r="K31" s="14">
        <v>3.3000000000000002E-2</v>
      </c>
      <c r="L31" s="14">
        <v>3.2000000000000001E-2</v>
      </c>
      <c r="M31" s="14">
        <v>0</v>
      </c>
      <c r="N31" s="14">
        <v>0.90500000000000003</v>
      </c>
      <c r="O31" s="14">
        <v>90.514146999999994</v>
      </c>
    </row>
    <row r="32" spans="1:15" x14ac:dyDescent="0.2">
      <c r="A32" s="21"/>
      <c r="B32" s="21">
        <v>23</v>
      </c>
      <c r="C32" s="14" t="s">
        <v>402</v>
      </c>
      <c r="D32" s="14" t="s">
        <v>745</v>
      </c>
      <c r="E32" s="14" t="s">
        <v>746</v>
      </c>
      <c r="F32" s="14">
        <v>2.75</v>
      </c>
      <c r="G32" s="14">
        <v>1405.4929199999999</v>
      </c>
      <c r="H32" s="14">
        <v>338.50808699999999</v>
      </c>
      <c r="I32" s="14">
        <v>2.5000000000000001E-2</v>
      </c>
      <c r="J32" s="14">
        <v>1.4670000000000001</v>
      </c>
      <c r="K32" s="14">
        <v>1.258</v>
      </c>
      <c r="L32" s="14">
        <v>0</v>
      </c>
      <c r="M32" s="14">
        <v>0</v>
      </c>
      <c r="N32" s="14">
        <v>0.61699999999999999</v>
      </c>
      <c r="O32" s="14">
        <v>22.449486</v>
      </c>
    </row>
    <row r="33" spans="1:15" x14ac:dyDescent="0.2">
      <c r="A33" s="21"/>
      <c r="B33" s="21">
        <v>24</v>
      </c>
      <c r="C33" s="14" t="s">
        <v>404</v>
      </c>
      <c r="D33" s="14" t="s">
        <v>746</v>
      </c>
      <c r="E33" s="14" t="s">
        <v>747</v>
      </c>
      <c r="F33" s="14">
        <v>4</v>
      </c>
      <c r="G33" s="14">
        <v>1582.2669679999999</v>
      </c>
      <c r="H33" s="14">
        <v>3.514459</v>
      </c>
      <c r="I33" s="14">
        <v>0.11</v>
      </c>
      <c r="J33" s="14">
        <v>0.42099999999999999</v>
      </c>
      <c r="K33" s="14">
        <v>3.351</v>
      </c>
      <c r="L33" s="14">
        <v>0.11799999999999999</v>
      </c>
      <c r="M33" s="14">
        <v>0</v>
      </c>
      <c r="N33" s="14">
        <v>3.8540000000000001</v>
      </c>
      <c r="O33" s="14">
        <v>96.338736999999995</v>
      </c>
    </row>
    <row r="34" spans="1:15" x14ac:dyDescent="0.2">
      <c r="A34" s="21"/>
      <c r="B34" s="21">
        <v>25</v>
      </c>
      <c r="C34" s="14" t="s">
        <v>406</v>
      </c>
      <c r="D34" s="14" t="s">
        <v>747</v>
      </c>
      <c r="E34" s="14" t="s">
        <v>748</v>
      </c>
      <c r="F34" s="14">
        <v>4</v>
      </c>
      <c r="G34" s="14">
        <v>1536.37085</v>
      </c>
      <c r="H34" s="14">
        <v>284.64239500000002</v>
      </c>
      <c r="I34" s="14">
        <v>5.0000000000000001E-3</v>
      </c>
      <c r="J34" s="14">
        <v>0.03</v>
      </c>
      <c r="K34" s="14">
        <v>3.9470000000000001</v>
      </c>
      <c r="L34" s="14">
        <v>1.7999999999999999E-2</v>
      </c>
      <c r="M34" s="14">
        <v>0</v>
      </c>
      <c r="N34" s="14">
        <v>0.112</v>
      </c>
      <c r="O34" s="14">
        <v>2.7930890000000002</v>
      </c>
    </row>
    <row r="35" spans="1:15" x14ac:dyDescent="0.2">
      <c r="A35" s="21"/>
      <c r="B35" s="21">
        <v>26</v>
      </c>
      <c r="C35" s="14" t="s">
        <v>407</v>
      </c>
      <c r="D35" s="14" t="s">
        <v>748</v>
      </c>
      <c r="E35" s="14" t="s">
        <v>749</v>
      </c>
      <c r="F35" s="14">
        <v>6.5579999999999998</v>
      </c>
      <c r="G35" s="14">
        <v>1423.2310789999999</v>
      </c>
      <c r="H35" s="14">
        <v>356.56094400000001</v>
      </c>
      <c r="I35" s="14">
        <v>0</v>
      </c>
      <c r="J35" s="14">
        <v>0.02</v>
      </c>
      <c r="K35" s="14">
        <v>6.5380000000000003</v>
      </c>
      <c r="L35" s="14">
        <v>0</v>
      </c>
      <c r="M35" s="14">
        <v>0</v>
      </c>
      <c r="N35" s="14">
        <v>0.13700000000000001</v>
      </c>
      <c r="O35" s="14">
        <v>2.0943679999999998</v>
      </c>
    </row>
    <row r="36" spans="1:15" x14ac:dyDescent="0.2">
      <c r="A36" s="477">
        <v>5</v>
      </c>
      <c r="B36" s="477">
        <v>27</v>
      </c>
      <c r="C36" s="14" t="s">
        <v>409</v>
      </c>
      <c r="D36" s="14" t="s">
        <v>750</v>
      </c>
      <c r="E36" s="14" t="s">
        <v>751</v>
      </c>
      <c r="F36" s="14">
        <v>12</v>
      </c>
      <c r="G36" s="14">
        <v>1389.8402100000001</v>
      </c>
      <c r="H36" s="14">
        <v>447.263306</v>
      </c>
      <c r="I36" s="14">
        <v>5.6289999999999996</v>
      </c>
      <c r="J36" s="14">
        <v>3.8140000000000001</v>
      </c>
      <c r="K36" s="14">
        <v>2.556</v>
      </c>
      <c r="L36" s="14">
        <v>0</v>
      </c>
      <c r="M36" s="14">
        <v>0</v>
      </c>
      <c r="N36" s="14">
        <v>9.6620000000000008</v>
      </c>
      <c r="O36" s="14">
        <v>80.516171</v>
      </c>
    </row>
    <row r="37" spans="1:15" x14ac:dyDescent="0.2">
      <c r="A37" s="21"/>
      <c r="B37" s="21">
        <v>28</v>
      </c>
      <c r="C37" s="14" t="s">
        <v>410</v>
      </c>
      <c r="D37" s="14" t="s">
        <v>752</v>
      </c>
      <c r="E37" s="14" t="s">
        <v>753</v>
      </c>
      <c r="F37" s="14">
        <v>8.3000000000000007</v>
      </c>
      <c r="G37" s="14">
        <v>1365.5576169999999</v>
      </c>
      <c r="H37" s="14">
        <v>126.583969</v>
      </c>
      <c r="I37" s="14">
        <v>8.2729999999999997</v>
      </c>
      <c r="J37" s="14">
        <v>2.5000000000000001E-2</v>
      </c>
      <c r="K37" s="14">
        <v>2E-3</v>
      </c>
      <c r="L37" s="14">
        <v>0</v>
      </c>
      <c r="M37" s="14">
        <v>0</v>
      </c>
      <c r="N37" s="14">
        <v>8.0990000000000002</v>
      </c>
      <c r="O37" s="14">
        <v>97.578973000000005</v>
      </c>
    </row>
    <row r="38" spans="1:15" x14ac:dyDescent="0.2">
      <c r="A38" s="477">
        <v>6</v>
      </c>
      <c r="B38" s="477">
        <v>29</v>
      </c>
      <c r="C38" s="14" t="s">
        <v>412</v>
      </c>
      <c r="D38" s="14" t="s">
        <v>754</v>
      </c>
      <c r="E38" s="14" t="s">
        <v>755</v>
      </c>
      <c r="F38" s="14">
        <v>8</v>
      </c>
      <c r="G38" s="14">
        <v>1392.807251</v>
      </c>
      <c r="H38" s="14">
        <v>453.34051499999998</v>
      </c>
      <c r="I38" s="14">
        <v>2.1</v>
      </c>
      <c r="J38" s="14">
        <v>3.3780000000000001</v>
      </c>
      <c r="K38" s="14">
        <v>2.5230000000000001</v>
      </c>
      <c r="L38" s="14">
        <v>0</v>
      </c>
      <c r="M38" s="14">
        <v>0</v>
      </c>
      <c r="N38" s="14">
        <v>5.8369999999999997</v>
      </c>
      <c r="O38" s="14">
        <v>72.960633000000001</v>
      </c>
    </row>
    <row r="39" spans="1:15" x14ac:dyDescent="0.2">
      <c r="A39" s="21"/>
      <c r="B39" s="21">
        <v>30</v>
      </c>
      <c r="C39" s="14" t="s">
        <v>413</v>
      </c>
      <c r="D39" s="14" t="s">
        <v>756</v>
      </c>
      <c r="E39" s="14" t="s">
        <v>757</v>
      </c>
      <c r="F39" s="14">
        <v>11.532999999999999</v>
      </c>
      <c r="G39" s="14">
        <v>1495.3592530000001</v>
      </c>
      <c r="H39" s="14">
        <v>0.32507200000000003</v>
      </c>
      <c r="I39" s="14">
        <v>11.358000000000001</v>
      </c>
      <c r="J39" s="14">
        <v>0.08</v>
      </c>
      <c r="K39" s="14">
        <v>5.2999999999999999E-2</v>
      </c>
      <c r="L39" s="14">
        <v>4.2000000000000003E-2</v>
      </c>
      <c r="M39" s="14">
        <v>0</v>
      </c>
      <c r="N39" s="14">
        <v>10.368</v>
      </c>
      <c r="O39" s="14">
        <v>89.897024999999999</v>
      </c>
    </row>
    <row r="40" spans="1:15" x14ac:dyDescent="0.2">
      <c r="A40" s="21"/>
      <c r="B40" s="21">
        <v>31</v>
      </c>
      <c r="C40" s="14" t="s">
        <v>415</v>
      </c>
      <c r="D40" s="14" t="s">
        <v>757</v>
      </c>
      <c r="E40" s="14" t="s">
        <v>758</v>
      </c>
      <c r="F40" s="14">
        <v>5</v>
      </c>
      <c r="G40" s="14">
        <v>1159.705811</v>
      </c>
      <c r="H40" s="14">
        <v>186.43615700000001</v>
      </c>
      <c r="I40" s="14">
        <v>5</v>
      </c>
      <c r="J40" s="14">
        <v>0</v>
      </c>
      <c r="K40" s="14">
        <v>0</v>
      </c>
      <c r="L40" s="14">
        <v>0</v>
      </c>
      <c r="M40" s="14">
        <v>0</v>
      </c>
      <c r="N40" s="14">
        <v>4.9980000000000002</v>
      </c>
      <c r="O40" s="14">
        <v>99.965774999999994</v>
      </c>
    </row>
    <row r="41" spans="1:15" x14ac:dyDescent="0.2">
      <c r="A41" s="477">
        <v>7</v>
      </c>
      <c r="B41" s="477">
        <v>32</v>
      </c>
      <c r="C41" s="14" t="s">
        <v>416</v>
      </c>
      <c r="D41" s="14" t="s">
        <v>759</v>
      </c>
      <c r="E41" s="14" t="s">
        <v>760</v>
      </c>
      <c r="F41" s="14">
        <v>9.75</v>
      </c>
      <c r="G41" s="14">
        <v>913.30810499999995</v>
      </c>
      <c r="H41" s="14">
        <v>369.92175300000002</v>
      </c>
      <c r="I41" s="14">
        <v>9.75</v>
      </c>
      <c r="J41" s="14">
        <v>0</v>
      </c>
      <c r="K41" s="14">
        <v>0</v>
      </c>
      <c r="L41" s="14">
        <v>0</v>
      </c>
      <c r="M41" s="14">
        <v>0</v>
      </c>
      <c r="N41" s="14">
        <v>9.75</v>
      </c>
      <c r="O41" s="14">
        <v>100</v>
      </c>
    </row>
    <row r="42" spans="1:15" x14ac:dyDescent="0.2">
      <c r="A42" s="21"/>
      <c r="B42" s="21">
        <v>33</v>
      </c>
      <c r="C42" s="14" t="s">
        <v>417</v>
      </c>
      <c r="D42" s="14" t="s">
        <v>761</v>
      </c>
      <c r="E42" s="14" t="s">
        <v>762</v>
      </c>
      <c r="F42" s="14">
        <v>9</v>
      </c>
      <c r="G42" s="14">
        <v>1449.564087</v>
      </c>
      <c r="H42" s="14">
        <v>116.637642</v>
      </c>
      <c r="I42" s="14">
        <v>8.9350000000000005</v>
      </c>
      <c r="J42" s="14">
        <v>0.03</v>
      </c>
      <c r="K42" s="14">
        <v>3.5000000000000003E-2</v>
      </c>
      <c r="L42" s="14">
        <v>0</v>
      </c>
      <c r="M42" s="14">
        <v>0</v>
      </c>
      <c r="N42" s="14">
        <v>8.9570000000000007</v>
      </c>
      <c r="O42" s="14">
        <v>99.523413000000005</v>
      </c>
    </row>
    <row r="43" spans="1:15" x14ac:dyDescent="0.2">
      <c r="A43" s="477">
        <v>8</v>
      </c>
      <c r="B43" s="477">
        <v>34</v>
      </c>
      <c r="C43" s="14" t="s">
        <v>418</v>
      </c>
      <c r="D43" s="14" t="s">
        <v>763</v>
      </c>
      <c r="E43" s="14" t="s">
        <v>764</v>
      </c>
      <c r="F43" s="14">
        <v>4.75</v>
      </c>
      <c r="G43" s="14">
        <v>1086.992798</v>
      </c>
      <c r="H43" s="14">
        <v>0</v>
      </c>
      <c r="I43" s="14">
        <v>4.75</v>
      </c>
      <c r="J43" s="14">
        <v>0</v>
      </c>
      <c r="K43" s="14">
        <v>0</v>
      </c>
      <c r="L43" s="14">
        <v>0</v>
      </c>
      <c r="M43" s="14">
        <v>0</v>
      </c>
      <c r="N43" s="14">
        <v>4.7469999999999999</v>
      </c>
      <c r="O43" s="14">
        <v>99.931228000000004</v>
      </c>
    </row>
    <row r="44" spans="1:15" x14ac:dyDescent="0.2">
      <c r="A44" s="21"/>
      <c r="B44" s="21">
        <v>35</v>
      </c>
      <c r="C44" s="14" t="s">
        <v>419</v>
      </c>
      <c r="D44" s="14" t="s">
        <v>764</v>
      </c>
      <c r="E44" s="14" t="s">
        <v>765</v>
      </c>
      <c r="F44" s="14">
        <v>4.25</v>
      </c>
      <c r="G44" s="14">
        <v>1843.898193</v>
      </c>
      <c r="H44" s="14">
        <v>92.973557</v>
      </c>
      <c r="I44" s="14">
        <v>3.9740000000000002</v>
      </c>
      <c r="J44" s="14">
        <v>5.0999999999999997E-2</v>
      </c>
      <c r="K44" s="14">
        <v>0.04</v>
      </c>
      <c r="L44" s="14">
        <v>5.8000000000000003E-2</v>
      </c>
      <c r="M44" s="14">
        <v>0.127</v>
      </c>
      <c r="N44" s="14">
        <v>4.149</v>
      </c>
      <c r="O44" s="14">
        <v>97.621250000000003</v>
      </c>
    </row>
    <row r="45" spans="1:15" x14ac:dyDescent="0.2">
      <c r="A45" s="477">
        <v>9</v>
      </c>
      <c r="B45" s="477">
        <v>36</v>
      </c>
      <c r="C45" s="14" t="s">
        <v>422</v>
      </c>
      <c r="D45" s="14" t="s">
        <v>766</v>
      </c>
      <c r="E45" s="14" t="s">
        <v>767</v>
      </c>
      <c r="F45" s="14">
        <v>8</v>
      </c>
      <c r="G45" s="14">
        <v>1595.9361570000001</v>
      </c>
      <c r="H45" s="14">
        <v>300.17901599999999</v>
      </c>
      <c r="I45" s="14">
        <v>0.68799999999999994</v>
      </c>
      <c r="J45" s="14">
        <v>6.3E-2</v>
      </c>
      <c r="K45" s="14">
        <v>1.871</v>
      </c>
      <c r="L45" s="14">
        <v>5.3769999999999998</v>
      </c>
      <c r="M45" s="14">
        <v>0</v>
      </c>
      <c r="N45" s="14">
        <v>4.2910000000000004</v>
      </c>
      <c r="O45" s="14">
        <v>53.635907000000003</v>
      </c>
    </row>
    <row r="46" spans="1:15" x14ac:dyDescent="0.2">
      <c r="A46" s="21"/>
      <c r="B46" s="21">
        <v>37</v>
      </c>
      <c r="C46" s="14" t="s">
        <v>423</v>
      </c>
      <c r="D46" s="14" t="s">
        <v>768</v>
      </c>
      <c r="E46" s="14" t="s">
        <v>769</v>
      </c>
      <c r="F46" s="14">
        <v>1</v>
      </c>
      <c r="G46" s="14">
        <v>1032.0196530000001</v>
      </c>
      <c r="H46" s="14">
        <v>197.457504</v>
      </c>
      <c r="I46" s="14">
        <v>1</v>
      </c>
      <c r="J46" s="14">
        <v>0</v>
      </c>
      <c r="K46" s="14">
        <v>0</v>
      </c>
      <c r="L46" s="14">
        <v>0</v>
      </c>
      <c r="M46" s="14">
        <v>0</v>
      </c>
      <c r="N46" s="14">
        <v>1</v>
      </c>
      <c r="O46" s="14">
        <v>100</v>
      </c>
    </row>
    <row r="47" spans="1:15" x14ac:dyDescent="0.2">
      <c r="A47" s="21"/>
      <c r="B47" s="21">
        <v>38</v>
      </c>
      <c r="C47" s="14" t="s">
        <v>424</v>
      </c>
      <c r="D47" s="14" t="s">
        <v>769</v>
      </c>
      <c r="E47" s="14" t="s">
        <v>770</v>
      </c>
      <c r="F47" s="14">
        <v>4</v>
      </c>
      <c r="G47" s="14">
        <v>1327.7897949999999</v>
      </c>
      <c r="H47" s="14">
        <v>0.237043</v>
      </c>
      <c r="I47" s="14">
        <v>3.9830000000000001</v>
      </c>
      <c r="J47" s="14">
        <v>1.7000000000000001E-2</v>
      </c>
      <c r="K47" s="14">
        <v>0</v>
      </c>
      <c r="L47" s="14">
        <v>0</v>
      </c>
      <c r="M47" s="14">
        <v>0</v>
      </c>
      <c r="N47" s="14">
        <v>3.99</v>
      </c>
      <c r="O47" s="14">
        <v>99.755204000000006</v>
      </c>
    </row>
    <row r="48" spans="1:15" x14ac:dyDescent="0.2">
      <c r="A48" s="477">
        <v>10</v>
      </c>
      <c r="B48" s="477">
        <v>39</v>
      </c>
      <c r="C48" s="14" t="s">
        <v>430</v>
      </c>
      <c r="D48" s="14" t="s">
        <v>771</v>
      </c>
      <c r="E48" s="14" t="s">
        <v>772</v>
      </c>
      <c r="F48" s="14">
        <v>8</v>
      </c>
      <c r="G48" s="14">
        <v>878.19274900000005</v>
      </c>
      <c r="H48" s="14">
        <v>390.90344199999998</v>
      </c>
      <c r="I48" s="14">
        <v>8</v>
      </c>
      <c r="J48" s="14">
        <v>0</v>
      </c>
      <c r="K48" s="14">
        <v>0</v>
      </c>
      <c r="L48" s="14">
        <v>0</v>
      </c>
      <c r="M48" s="14">
        <v>0</v>
      </c>
      <c r="N48" s="14">
        <v>8</v>
      </c>
      <c r="O48" s="14">
        <v>100</v>
      </c>
    </row>
    <row r="49" spans="1:15" x14ac:dyDescent="0.2">
      <c r="A49" s="21"/>
      <c r="B49" s="21">
        <v>40</v>
      </c>
      <c r="C49" s="14" t="s">
        <v>431</v>
      </c>
      <c r="D49" s="14" t="s">
        <v>773</v>
      </c>
      <c r="E49" s="14" t="s">
        <v>774</v>
      </c>
      <c r="F49" s="14">
        <v>9</v>
      </c>
      <c r="G49" s="14">
        <v>877.028503</v>
      </c>
      <c r="H49" s="14">
        <v>301.07730099999998</v>
      </c>
      <c r="I49" s="14">
        <v>9</v>
      </c>
      <c r="J49" s="14">
        <v>0</v>
      </c>
      <c r="K49" s="14">
        <v>0</v>
      </c>
      <c r="L49" s="14">
        <v>0</v>
      </c>
      <c r="M49" s="14">
        <v>0</v>
      </c>
      <c r="N49" s="14">
        <v>9</v>
      </c>
      <c r="O49" s="14">
        <v>100</v>
      </c>
    </row>
    <row r="50" spans="1:15" x14ac:dyDescent="0.2">
      <c r="A50" s="477">
        <v>11</v>
      </c>
      <c r="B50" s="477">
        <v>41</v>
      </c>
      <c r="C50" s="14" t="s">
        <v>432</v>
      </c>
      <c r="D50" s="14" t="s">
        <v>775</v>
      </c>
      <c r="E50" s="14" t="s">
        <v>776</v>
      </c>
      <c r="F50" s="14">
        <v>8</v>
      </c>
      <c r="G50" s="14">
        <v>883.28894000000003</v>
      </c>
      <c r="H50" s="14">
        <v>384.41027800000001</v>
      </c>
      <c r="I50" s="14">
        <v>8</v>
      </c>
      <c r="J50" s="14">
        <v>0</v>
      </c>
      <c r="K50" s="14">
        <v>0</v>
      </c>
      <c r="L50" s="14">
        <v>0</v>
      </c>
      <c r="M50" s="14">
        <v>0</v>
      </c>
      <c r="N50" s="14">
        <v>8</v>
      </c>
      <c r="O50" s="14">
        <v>100</v>
      </c>
    </row>
    <row r="51" spans="1:15" x14ac:dyDescent="0.2">
      <c r="A51" s="477">
        <v>12</v>
      </c>
      <c r="B51" s="477">
        <v>42</v>
      </c>
      <c r="C51" s="14" t="s">
        <v>433</v>
      </c>
      <c r="D51" s="14" t="s">
        <v>777</v>
      </c>
      <c r="E51" s="14" t="s">
        <v>778</v>
      </c>
      <c r="F51" s="14">
        <v>8</v>
      </c>
      <c r="G51" s="14">
        <v>899.53118900000004</v>
      </c>
      <c r="H51" s="14">
        <v>423.40713499999998</v>
      </c>
      <c r="I51" s="14">
        <v>8</v>
      </c>
      <c r="J51" s="14">
        <v>0</v>
      </c>
      <c r="K51" s="14">
        <v>0</v>
      </c>
      <c r="L51" s="14">
        <v>0</v>
      </c>
      <c r="M51" s="14">
        <v>0</v>
      </c>
      <c r="N51" s="14">
        <v>0.16</v>
      </c>
      <c r="O51" s="14">
        <v>2</v>
      </c>
    </row>
    <row r="52" spans="1:15" x14ac:dyDescent="0.2">
      <c r="A52" s="477">
        <v>13</v>
      </c>
      <c r="B52" s="477">
        <v>43</v>
      </c>
      <c r="C52" s="14" t="s">
        <v>434</v>
      </c>
      <c r="D52" s="14" t="s">
        <v>779</v>
      </c>
      <c r="E52" s="14" t="s">
        <v>780</v>
      </c>
      <c r="F52" s="14">
        <v>8</v>
      </c>
      <c r="G52" s="14">
        <v>1260.4243160000001</v>
      </c>
      <c r="H52" s="14">
        <v>375.258667</v>
      </c>
      <c r="I52" s="14">
        <v>6.91</v>
      </c>
      <c r="J52" s="14">
        <v>1.0900000000000001</v>
      </c>
      <c r="K52" s="14">
        <v>0</v>
      </c>
      <c r="L52" s="14">
        <v>0</v>
      </c>
      <c r="M52" s="14">
        <v>0</v>
      </c>
      <c r="N52" s="14">
        <v>7.9820000000000002</v>
      </c>
      <c r="O52" s="14">
        <v>99.775463000000002</v>
      </c>
    </row>
    <row r="53" spans="1:15" x14ac:dyDescent="0.2">
      <c r="A53" s="477">
        <v>14</v>
      </c>
      <c r="B53" s="477">
        <v>44</v>
      </c>
      <c r="C53" s="14" t="s">
        <v>435</v>
      </c>
      <c r="D53" s="14" t="s">
        <v>781</v>
      </c>
      <c r="E53" s="14" t="s">
        <v>782</v>
      </c>
      <c r="F53" s="14">
        <v>8</v>
      </c>
      <c r="G53" s="14">
        <v>1164.328125</v>
      </c>
      <c r="H53" s="14">
        <v>743.853882</v>
      </c>
      <c r="I53" s="14">
        <v>8</v>
      </c>
      <c r="J53" s="14">
        <v>0</v>
      </c>
      <c r="K53" s="14">
        <v>0</v>
      </c>
      <c r="L53" s="14">
        <v>0</v>
      </c>
      <c r="M53" s="14">
        <v>0</v>
      </c>
      <c r="N53" s="14">
        <v>8</v>
      </c>
      <c r="O53" s="14">
        <v>100</v>
      </c>
    </row>
    <row r="54" spans="1:15" x14ac:dyDescent="0.2">
      <c r="A54" s="21"/>
      <c r="B54" s="21">
        <v>45</v>
      </c>
      <c r="C54" s="14" t="s">
        <v>436</v>
      </c>
      <c r="D54" s="14" t="s">
        <v>783</v>
      </c>
      <c r="E54" s="14" t="s">
        <v>784</v>
      </c>
      <c r="F54" s="14">
        <v>4</v>
      </c>
      <c r="G54" s="14">
        <v>1599.531616</v>
      </c>
      <c r="H54" s="14">
        <v>61.214210999999999</v>
      </c>
      <c r="I54" s="14">
        <v>3.859</v>
      </c>
      <c r="J54" s="14">
        <v>3.6999999999999998E-2</v>
      </c>
      <c r="K54" s="14">
        <v>2.5000000000000001E-2</v>
      </c>
      <c r="L54" s="14">
        <v>0.08</v>
      </c>
      <c r="M54" s="14">
        <v>0</v>
      </c>
      <c r="N54" s="14">
        <v>3.972</v>
      </c>
      <c r="O54" s="14">
        <v>99.299085000000005</v>
      </c>
    </row>
    <row r="55" spans="1:15" x14ac:dyDescent="0.2">
      <c r="A55" s="21"/>
      <c r="B55" s="21">
        <v>46</v>
      </c>
      <c r="C55" s="14" t="s">
        <v>439</v>
      </c>
      <c r="D55" s="14" t="s">
        <v>784</v>
      </c>
      <c r="E55" s="14" t="s">
        <v>785</v>
      </c>
      <c r="F55" s="14">
        <v>6.0830000000000002</v>
      </c>
      <c r="G55" s="14">
        <v>1663.058716</v>
      </c>
      <c r="H55" s="14">
        <v>363.04226699999998</v>
      </c>
      <c r="I55" s="14">
        <v>0</v>
      </c>
      <c r="J55" s="14">
        <v>0</v>
      </c>
      <c r="K55" s="14">
        <v>3.3000000000000002E-2</v>
      </c>
      <c r="L55" s="14">
        <v>6.04</v>
      </c>
      <c r="M55" s="14">
        <v>0.01</v>
      </c>
      <c r="N55" s="14">
        <v>5.532</v>
      </c>
      <c r="O55" s="14">
        <v>90.931094000000002</v>
      </c>
    </row>
    <row r="56" spans="1:15" x14ac:dyDescent="0.2">
      <c r="A56" s="21"/>
      <c r="B56" s="21">
        <v>47</v>
      </c>
      <c r="C56" s="14" t="s">
        <v>441</v>
      </c>
      <c r="D56" s="14" t="s">
        <v>785</v>
      </c>
      <c r="E56" s="14" t="s">
        <v>786</v>
      </c>
      <c r="F56" s="14">
        <v>1</v>
      </c>
      <c r="G56" s="14">
        <v>1553.2650149999999</v>
      </c>
      <c r="H56" s="14">
        <v>432.52001999999999</v>
      </c>
      <c r="I56" s="14">
        <v>0</v>
      </c>
      <c r="J56" s="14">
        <v>0</v>
      </c>
      <c r="K56" s="14">
        <v>8.0000000000000002E-3</v>
      </c>
      <c r="L56" s="14">
        <v>0.99199999999999999</v>
      </c>
      <c r="M56" s="14">
        <v>0</v>
      </c>
      <c r="N56" s="14">
        <v>0.94399999999999995</v>
      </c>
      <c r="O56" s="14">
        <v>94.383084999999994</v>
      </c>
    </row>
    <row r="57" spans="1:15" x14ac:dyDescent="0.2">
      <c r="A57" s="21"/>
      <c r="B57" s="21">
        <v>48</v>
      </c>
      <c r="C57" s="14" t="s">
        <v>442</v>
      </c>
      <c r="D57" s="14" t="s">
        <v>786</v>
      </c>
      <c r="E57" s="14" t="s">
        <v>787</v>
      </c>
      <c r="F57" s="14">
        <v>4</v>
      </c>
      <c r="G57" s="14">
        <v>1635.7498780000001</v>
      </c>
      <c r="H57" s="14">
        <v>339.62844799999999</v>
      </c>
      <c r="I57" s="14">
        <v>0</v>
      </c>
      <c r="J57" s="14">
        <v>0</v>
      </c>
      <c r="K57" s="14">
        <v>1.284</v>
      </c>
      <c r="L57" s="14">
        <v>2.6909999999999998</v>
      </c>
      <c r="M57" s="14">
        <v>2.5000000000000001E-2</v>
      </c>
      <c r="N57" s="14">
        <v>3.206</v>
      </c>
      <c r="O57" s="14">
        <v>80.149037000000007</v>
      </c>
    </row>
    <row r="58" spans="1:15" x14ac:dyDescent="0.2">
      <c r="A58" s="21"/>
      <c r="B58" s="21">
        <v>49</v>
      </c>
      <c r="C58" s="14" t="s">
        <v>444</v>
      </c>
      <c r="D58" s="14" t="s">
        <v>787</v>
      </c>
      <c r="E58" s="14" t="s">
        <v>788</v>
      </c>
      <c r="F58" s="14">
        <v>1</v>
      </c>
      <c r="G58" s="14">
        <v>1543.8325199999999</v>
      </c>
      <c r="H58" s="14">
        <v>436.32238799999999</v>
      </c>
      <c r="I58" s="14">
        <v>0</v>
      </c>
      <c r="J58" s="14">
        <v>0</v>
      </c>
      <c r="K58" s="14">
        <v>1.2999999999999999E-2</v>
      </c>
      <c r="L58" s="14">
        <v>0.98699999999999999</v>
      </c>
      <c r="M58" s="14">
        <v>0</v>
      </c>
      <c r="N58" s="14">
        <v>0.94199999999999995</v>
      </c>
      <c r="O58" s="14">
        <v>94.22757</v>
      </c>
    </row>
    <row r="59" spans="1:15" x14ac:dyDescent="0.2">
      <c r="A59" s="21"/>
      <c r="B59" s="21">
        <v>50</v>
      </c>
      <c r="C59" s="14" t="s">
        <v>445</v>
      </c>
      <c r="D59" s="14" t="s">
        <v>788</v>
      </c>
      <c r="E59" s="14" t="s">
        <v>789</v>
      </c>
      <c r="F59" s="14">
        <v>4</v>
      </c>
      <c r="G59" s="14">
        <v>1623.755371</v>
      </c>
      <c r="H59" s="14">
        <v>365.208099</v>
      </c>
      <c r="I59" s="14">
        <v>0</v>
      </c>
      <c r="J59" s="14">
        <v>0</v>
      </c>
      <c r="K59" s="14">
        <v>0.06</v>
      </c>
      <c r="L59" s="14">
        <v>3.9350000000000001</v>
      </c>
      <c r="M59" s="14">
        <v>5.0000000000000001E-3</v>
      </c>
      <c r="N59" s="14">
        <v>3.7709999999999999</v>
      </c>
      <c r="O59" s="14">
        <v>94.270044999999996</v>
      </c>
    </row>
    <row r="60" spans="1:15" x14ac:dyDescent="0.2">
      <c r="A60" s="21"/>
      <c r="B60" s="21">
        <v>51</v>
      </c>
      <c r="C60" s="14" t="s">
        <v>446</v>
      </c>
      <c r="D60" s="14" t="s">
        <v>789</v>
      </c>
      <c r="E60" s="14" t="s">
        <v>790</v>
      </c>
      <c r="F60" s="14">
        <v>1</v>
      </c>
      <c r="G60" s="14">
        <v>1515.3122559999999</v>
      </c>
      <c r="H60" s="14">
        <v>412.74746699999997</v>
      </c>
      <c r="I60" s="14">
        <v>0</v>
      </c>
      <c r="J60" s="14">
        <v>0</v>
      </c>
      <c r="K60" s="14">
        <v>0.97299999999999998</v>
      </c>
      <c r="L60" s="14">
        <v>2.7E-2</v>
      </c>
      <c r="M60" s="14">
        <v>0</v>
      </c>
      <c r="N60" s="14">
        <v>0.93600000000000005</v>
      </c>
      <c r="O60" s="14">
        <v>93.609630999999993</v>
      </c>
    </row>
    <row r="61" spans="1:15" x14ac:dyDescent="0.2">
      <c r="A61" s="21"/>
      <c r="B61" s="21">
        <v>52</v>
      </c>
      <c r="C61" s="14" t="s">
        <v>447</v>
      </c>
      <c r="D61" s="14" t="s">
        <v>790</v>
      </c>
      <c r="E61" s="14" t="s">
        <v>791</v>
      </c>
      <c r="F61" s="14">
        <v>1.5</v>
      </c>
      <c r="G61" s="14">
        <v>1846.2772219999999</v>
      </c>
      <c r="H61" s="14">
        <v>1.800414</v>
      </c>
      <c r="I61" s="14">
        <v>1.7999999999999999E-2</v>
      </c>
      <c r="J61" s="14">
        <v>1.038</v>
      </c>
      <c r="K61" s="14">
        <v>0.20200000000000001</v>
      </c>
      <c r="L61" s="14">
        <v>3.6999999999999998E-2</v>
      </c>
      <c r="M61" s="14">
        <v>0.20499999999999999</v>
      </c>
      <c r="N61" s="14">
        <v>1.415</v>
      </c>
      <c r="O61" s="14">
        <v>94.332223999999997</v>
      </c>
    </row>
    <row r="62" spans="1:15" x14ac:dyDescent="0.2">
      <c r="A62" s="21"/>
      <c r="B62" s="21">
        <v>53</v>
      </c>
      <c r="C62" s="14" t="s">
        <v>449</v>
      </c>
      <c r="D62" s="14" t="s">
        <v>791</v>
      </c>
      <c r="E62" s="14" t="s">
        <v>792</v>
      </c>
      <c r="F62" s="14">
        <v>1</v>
      </c>
      <c r="G62" s="14">
        <v>1496.112427</v>
      </c>
      <c r="H62" s="14">
        <v>387.04025300000001</v>
      </c>
      <c r="I62" s="14">
        <v>0</v>
      </c>
      <c r="J62" s="14">
        <v>0</v>
      </c>
      <c r="K62" s="14">
        <v>0.98699999999999999</v>
      </c>
      <c r="L62" s="14">
        <v>1.2999999999999999E-2</v>
      </c>
      <c r="M62" s="14">
        <v>0</v>
      </c>
      <c r="N62" s="14">
        <v>0.63500000000000001</v>
      </c>
      <c r="O62" s="14">
        <v>63.501655999999997</v>
      </c>
    </row>
    <row r="63" spans="1:15" x14ac:dyDescent="0.2">
      <c r="A63" s="21"/>
      <c r="B63" s="21">
        <v>54</v>
      </c>
      <c r="C63" s="14" t="s">
        <v>450</v>
      </c>
      <c r="D63" s="14" t="s">
        <v>792</v>
      </c>
      <c r="E63" s="14" t="s">
        <v>793</v>
      </c>
      <c r="F63" s="14">
        <v>1.5</v>
      </c>
      <c r="G63" s="14">
        <v>1489.887817</v>
      </c>
      <c r="H63" s="14">
        <v>405.21337899999997</v>
      </c>
      <c r="I63" s="14">
        <v>0</v>
      </c>
      <c r="J63" s="14">
        <v>0</v>
      </c>
      <c r="K63" s="14">
        <v>1.4850000000000001</v>
      </c>
      <c r="L63" s="14">
        <v>1.4999999999999999E-2</v>
      </c>
      <c r="M63" s="14">
        <v>0</v>
      </c>
      <c r="N63" s="14">
        <v>4.8000000000000001E-2</v>
      </c>
      <c r="O63" s="14">
        <v>3.2331490000000001</v>
      </c>
    </row>
    <row r="64" spans="1:15" x14ac:dyDescent="0.2">
      <c r="A64" s="21"/>
      <c r="B64" s="21">
        <v>55</v>
      </c>
      <c r="C64" s="14" t="s">
        <v>451</v>
      </c>
      <c r="D64" s="14" t="s">
        <v>793</v>
      </c>
      <c r="E64" s="14" t="s">
        <v>794</v>
      </c>
      <c r="F64" s="14">
        <v>1</v>
      </c>
      <c r="G64" s="14">
        <v>1472.7438959999999</v>
      </c>
      <c r="H64" s="14">
        <v>360.75390599999997</v>
      </c>
      <c r="I64" s="14">
        <v>0</v>
      </c>
      <c r="J64" s="14">
        <v>3.0000000000000001E-3</v>
      </c>
      <c r="K64" s="14">
        <v>0.99199999999999999</v>
      </c>
      <c r="L64" s="14">
        <v>5.0000000000000001E-3</v>
      </c>
      <c r="M64" s="14">
        <v>0</v>
      </c>
      <c r="N64" s="14">
        <v>4.9000000000000002E-2</v>
      </c>
      <c r="O64" s="14">
        <v>4.8720929999999996</v>
      </c>
    </row>
    <row r="65" spans="1:15" x14ac:dyDescent="0.2">
      <c r="A65" s="21"/>
      <c r="B65" s="21">
        <v>56</v>
      </c>
      <c r="C65" s="14" t="s">
        <v>452</v>
      </c>
      <c r="D65" s="14" t="s">
        <v>794</v>
      </c>
      <c r="E65" s="14" t="s">
        <v>795</v>
      </c>
      <c r="F65" s="14">
        <v>2.2000000000000002</v>
      </c>
      <c r="G65" s="14">
        <v>1529.92749</v>
      </c>
      <c r="H65" s="14">
        <v>328.18933099999998</v>
      </c>
      <c r="I65" s="14">
        <v>0</v>
      </c>
      <c r="J65" s="14">
        <v>2E-3</v>
      </c>
      <c r="K65" s="14">
        <v>2.1819999999999999</v>
      </c>
      <c r="L65" s="14">
        <v>1.7000000000000001E-2</v>
      </c>
      <c r="M65" s="14">
        <v>0</v>
      </c>
      <c r="N65" s="14">
        <v>1.353</v>
      </c>
      <c r="O65" s="14">
        <v>61.510204999999999</v>
      </c>
    </row>
    <row r="66" spans="1:15" x14ac:dyDescent="0.2">
      <c r="A66" s="21"/>
      <c r="B66" s="21">
        <v>57</v>
      </c>
      <c r="C66" s="14" t="s">
        <v>453</v>
      </c>
      <c r="D66" s="14" t="s">
        <v>795</v>
      </c>
      <c r="E66" s="14" t="s">
        <v>796</v>
      </c>
      <c r="F66" s="14">
        <v>1</v>
      </c>
      <c r="G66" s="14">
        <v>1441.4501949999999</v>
      </c>
      <c r="H66" s="14">
        <v>331.12460299999998</v>
      </c>
      <c r="I66" s="14">
        <v>0</v>
      </c>
      <c r="J66" s="14">
        <v>1.4999999999999999E-2</v>
      </c>
      <c r="K66" s="14">
        <v>0.98499999999999999</v>
      </c>
      <c r="L66" s="14">
        <v>0</v>
      </c>
      <c r="M66" s="14">
        <v>0</v>
      </c>
      <c r="N66" s="14">
        <v>0.98499999999999999</v>
      </c>
      <c r="O66" s="14">
        <v>98.512434999999996</v>
      </c>
    </row>
    <row r="67" spans="1:15" x14ac:dyDescent="0.2">
      <c r="A67" s="477">
        <v>15</v>
      </c>
      <c r="B67" s="477">
        <v>58</v>
      </c>
      <c r="C67" s="14" t="s">
        <v>454</v>
      </c>
      <c r="D67" s="14" t="s">
        <v>797</v>
      </c>
      <c r="E67" s="14" t="s">
        <v>798</v>
      </c>
      <c r="F67" s="14">
        <v>7</v>
      </c>
      <c r="G67" s="14">
        <v>1148.24585</v>
      </c>
      <c r="H67" s="14">
        <v>734.02233899999999</v>
      </c>
      <c r="I67" s="14">
        <v>7</v>
      </c>
      <c r="J67" s="14">
        <v>0</v>
      </c>
      <c r="K67" s="14">
        <v>0</v>
      </c>
      <c r="L67" s="14">
        <v>0</v>
      </c>
      <c r="M67" s="14">
        <v>0</v>
      </c>
      <c r="N67" s="14">
        <v>7</v>
      </c>
      <c r="O67" s="14">
        <v>100</v>
      </c>
    </row>
    <row r="68" spans="1:15" x14ac:dyDescent="0.2">
      <c r="A68" s="21"/>
      <c r="B68" s="21">
        <v>59</v>
      </c>
      <c r="C68" s="14" t="s">
        <v>455</v>
      </c>
      <c r="D68" s="14" t="s">
        <v>798</v>
      </c>
      <c r="E68" s="14" t="s">
        <v>799</v>
      </c>
      <c r="F68" s="14">
        <v>19</v>
      </c>
      <c r="G68" s="14">
        <v>1435.603149</v>
      </c>
      <c r="H68" s="14">
        <v>3.828125</v>
      </c>
      <c r="I68" s="14">
        <v>18.613</v>
      </c>
      <c r="J68" s="14">
        <v>0.14000000000000001</v>
      </c>
      <c r="K68" s="14">
        <v>0.247</v>
      </c>
      <c r="L68" s="14">
        <v>0</v>
      </c>
      <c r="M68" s="14">
        <v>0</v>
      </c>
      <c r="N68" s="14">
        <v>18.873999999999999</v>
      </c>
      <c r="O68" s="14">
        <v>99.337982999999994</v>
      </c>
    </row>
    <row r="69" spans="1:15" x14ac:dyDescent="0.2">
      <c r="A69" s="477">
        <v>16</v>
      </c>
      <c r="B69" s="477">
        <v>60</v>
      </c>
      <c r="C69" s="14" t="s">
        <v>456</v>
      </c>
      <c r="D69" s="14" t="s">
        <v>800</v>
      </c>
      <c r="E69" s="14" t="s">
        <v>801</v>
      </c>
      <c r="F69" s="14">
        <v>7.75</v>
      </c>
      <c r="G69" s="14">
        <v>1389.6488039999999</v>
      </c>
      <c r="H69" s="14">
        <v>302.81265300000001</v>
      </c>
      <c r="I69" s="14">
        <v>0</v>
      </c>
      <c r="J69" s="14">
        <v>0</v>
      </c>
      <c r="K69" s="14">
        <v>7.75</v>
      </c>
      <c r="L69" s="14">
        <v>0</v>
      </c>
      <c r="M69" s="14">
        <v>0</v>
      </c>
      <c r="N69" s="14">
        <v>7.3620000000000001</v>
      </c>
      <c r="O69" s="14">
        <v>94.999999000000003</v>
      </c>
    </row>
    <row r="70" spans="1:15" x14ac:dyDescent="0.2">
      <c r="A70" s="21"/>
      <c r="B70" s="21">
        <v>61</v>
      </c>
      <c r="C70" s="14" t="s">
        <v>457</v>
      </c>
      <c r="D70" s="14" t="s">
        <v>802</v>
      </c>
      <c r="E70" s="14" t="s">
        <v>803</v>
      </c>
      <c r="F70" s="14">
        <v>2</v>
      </c>
      <c r="G70" s="14">
        <v>1624.0040280000001</v>
      </c>
      <c r="H70" s="14">
        <v>1.372663</v>
      </c>
      <c r="I70" s="14">
        <v>1.609</v>
      </c>
      <c r="J70" s="14">
        <v>0.14499999999999999</v>
      </c>
      <c r="K70" s="14">
        <v>0.08</v>
      </c>
      <c r="L70" s="14">
        <v>0.13700000000000001</v>
      </c>
      <c r="M70" s="14">
        <v>0.03</v>
      </c>
      <c r="N70" s="14">
        <v>1.853</v>
      </c>
      <c r="O70" s="14">
        <v>92.672770999999997</v>
      </c>
    </row>
    <row r="71" spans="1:15" x14ac:dyDescent="0.2">
      <c r="A71" s="21"/>
      <c r="B71" s="21">
        <v>62</v>
      </c>
      <c r="C71" s="14" t="s">
        <v>458</v>
      </c>
      <c r="D71" s="14" t="s">
        <v>803</v>
      </c>
      <c r="E71" s="14" t="s">
        <v>804</v>
      </c>
      <c r="F71" s="14">
        <v>4.5830000000000002</v>
      </c>
      <c r="G71" s="14">
        <v>1628.0076899999999</v>
      </c>
      <c r="H71" s="14">
        <v>103.549561</v>
      </c>
      <c r="I71" s="14">
        <v>4.4829999999999997</v>
      </c>
      <c r="J71" s="14">
        <v>3.5000000000000003E-2</v>
      </c>
      <c r="K71" s="14">
        <v>3.3000000000000002E-2</v>
      </c>
      <c r="L71" s="14">
        <v>2.7E-2</v>
      </c>
      <c r="M71" s="14">
        <v>5.0000000000000001E-3</v>
      </c>
      <c r="N71" s="14">
        <v>4.5369999999999999</v>
      </c>
      <c r="O71" s="14">
        <v>98.998547000000002</v>
      </c>
    </row>
    <row r="72" spans="1:15" x14ac:dyDescent="0.2">
      <c r="A72" s="21"/>
      <c r="B72" s="21">
        <v>63</v>
      </c>
      <c r="C72" s="14" t="s">
        <v>460</v>
      </c>
      <c r="D72" s="14" t="s">
        <v>804</v>
      </c>
      <c r="E72" s="14" t="s">
        <v>805</v>
      </c>
      <c r="F72" s="14">
        <v>3.75</v>
      </c>
      <c r="G72" s="14">
        <v>1439.7570800000001</v>
      </c>
      <c r="H72" s="14">
        <v>320.37289399999997</v>
      </c>
      <c r="I72" s="14">
        <v>3.7080000000000002</v>
      </c>
      <c r="J72" s="14">
        <v>0.02</v>
      </c>
      <c r="K72" s="14">
        <v>2.1999999999999999E-2</v>
      </c>
      <c r="L72" s="14">
        <v>0</v>
      </c>
      <c r="M72" s="14">
        <v>0</v>
      </c>
      <c r="N72" s="14">
        <v>3.7250000000000001</v>
      </c>
      <c r="O72" s="14">
        <v>99.340295999999995</v>
      </c>
    </row>
    <row r="73" spans="1:15" x14ac:dyDescent="0.2">
      <c r="A73" s="21"/>
      <c r="B73" s="21">
        <v>64</v>
      </c>
      <c r="C73" s="14" t="s">
        <v>461</v>
      </c>
      <c r="D73" s="14" t="s">
        <v>805</v>
      </c>
      <c r="E73" s="14" t="s">
        <v>806</v>
      </c>
      <c r="F73" s="14">
        <v>3.9169999999999998</v>
      </c>
      <c r="G73" s="14">
        <v>1478.2310789999999</v>
      </c>
      <c r="H73" s="14">
        <v>3.8267169999999999</v>
      </c>
      <c r="I73" s="14">
        <v>3.7530000000000001</v>
      </c>
      <c r="J73" s="14">
        <v>8.6999999999999994E-2</v>
      </c>
      <c r="K73" s="14">
        <v>6.2E-2</v>
      </c>
      <c r="L73" s="14">
        <v>1.4999999999999999E-2</v>
      </c>
      <c r="M73" s="14">
        <v>0</v>
      </c>
      <c r="N73" s="14">
        <v>3.8210000000000002</v>
      </c>
      <c r="O73" s="14">
        <v>97.555696999999995</v>
      </c>
    </row>
    <row r="74" spans="1:15" x14ac:dyDescent="0.2">
      <c r="A74" s="21"/>
      <c r="B74" s="21">
        <v>65</v>
      </c>
      <c r="C74" s="14" t="s">
        <v>464</v>
      </c>
      <c r="D74" s="14" t="s">
        <v>806</v>
      </c>
      <c r="E74" s="14" t="s">
        <v>807</v>
      </c>
      <c r="F74" s="14">
        <v>1.5169999999999999</v>
      </c>
      <c r="G74" s="14">
        <v>1503.2886960000001</v>
      </c>
      <c r="H74" s="14">
        <v>1.8924399999999999</v>
      </c>
      <c r="I74" s="14">
        <v>0.191</v>
      </c>
      <c r="J74" s="14">
        <v>0.67200000000000004</v>
      </c>
      <c r="K74" s="14">
        <v>0.51400000000000001</v>
      </c>
      <c r="L74" s="14">
        <v>0.14000000000000001</v>
      </c>
      <c r="M74" s="14">
        <v>0</v>
      </c>
      <c r="N74" s="14">
        <v>1.413</v>
      </c>
      <c r="O74" s="14">
        <v>93.180913000000004</v>
      </c>
    </row>
    <row r="75" spans="1:15" x14ac:dyDescent="0.2">
      <c r="A75" s="21"/>
      <c r="B75" s="21">
        <v>66</v>
      </c>
      <c r="C75" s="14" t="s">
        <v>465</v>
      </c>
      <c r="D75" s="14" t="s">
        <v>807</v>
      </c>
      <c r="E75" s="14" t="s">
        <v>808</v>
      </c>
      <c r="F75" s="14">
        <v>1.917</v>
      </c>
      <c r="G75" s="14">
        <v>1496.0198969999999</v>
      </c>
      <c r="H75" s="14">
        <v>1.533758</v>
      </c>
      <c r="I75" s="14">
        <v>1.4279999999999999</v>
      </c>
      <c r="J75" s="14">
        <v>0.23100000000000001</v>
      </c>
      <c r="K75" s="14">
        <v>0.247</v>
      </c>
      <c r="L75" s="14">
        <v>0.01</v>
      </c>
      <c r="M75" s="14">
        <v>0</v>
      </c>
      <c r="N75" s="14">
        <v>1.7809999999999999</v>
      </c>
      <c r="O75" s="14">
        <v>92.944545000000005</v>
      </c>
    </row>
    <row r="76" spans="1:15" x14ac:dyDescent="0.2">
      <c r="A76" s="21"/>
      <c r="B76" s="21">
        <v>67</v>
      </c>
      <c r="C76" s="14" t="s">
        <v>466</v>
      </c>
      <c r="D76" s="14" t="s">
        <v>808</v>
      </c>
      <c r="E76" s="14" t="s">
        <v>809</v>
      </c>
      <c r="F76" s="14">
        <v>1.45</v>
      </c>
      <c r="G76" s="14">
        <v>1850.494995</v>
      </c>
      <c r="H76" s="14">
        <v>25.271470999999998</v>
      </c>
      <c r="I76" s="14">
        <v>1.119</v>
      </c>
      <c r="J76" s="14">
        <v>0.128</v>
      </c>
      <c r="K76" s="14">
        <v>0.13800000000000001</v>
      </c>
      <c r="L76" s="14">
        <v>2.4E-2</v>
      </c>
      <c r="M76" s="14">
        <v>4.1000000000000002E-2</v>
      </c>
      <c r="N76" s="14">
        <v>1.373</v>
      </c>
      <c r="O76" s="14">
        <v>94.683443999999994</v>
      </c>
    </row>
    <row r="77" spans="1:15" x14ac:dyDescent="0.2">
      <c r="A77" s="21"/>
      <c r="B77" s="21">
        <v>68</v>
      </c>
      <c r="C77" s="14" t="s">
        <v>467</v>
      </c>
      <c r="D77" s="14" t="s">
        <v>809</v>
      </c>
      <c r="E77" s="14" t="s">
        <v>810</v>
      </c>
      <c r="F77" s="14">
        <v>4</v>
      </c>
      <c r="G77" s="14">
        <v>1509.0322269999999</v>
      </c>
      <c r="H77" s="14">
        <v>121.732529</v>
      </c>
      <c r="I77" s="14">
        <v>1.617</v>
      </c>
      <c r="J77" s="14">
        <v>1.4770000000000001</v>
      </c>
      <c r="K77" s="14">
        <v>0.73099999999999998</v>
      </c>
      <c r="L77" s="14">
        <v>0.17499999999999999</v>
      </c>
      <c r="M77" s="14">
        <v>0</v>
      </c>
      <c r="N77" s="14">
        <v>3.1360000000000001</v>
      </c>
      <c r="O77" s="14">
        <v>78.393840999999995</v>
      </c>
    </row>
    <row r="78" spans="1:15" x14ac:dyDescent="0.2">
      <c r="A78" s="21"/>
      <c r="B78" s="21">
        <v>69</v>
      </c>
      <c r="C78" s="14" t="s">
        <v>469</v>
      </c>
      <c r="D78" s="14" t="s">
        <v>810</v>
      </c>
      <c r="E78" s="14" t="s">
        <v>811</v>
      </c>
      <c r="F78" s="14">
        <v>1</v>
      </c>
      <c r="G78" s="14">
        <v>1678.547241</v>
      </c>
      <c r="H78" s="14">
        <v>5.5241110000000004</v>
      </c>
      <c r="I78" s="14">
        <v>0.39</v>
      </c>
      <c r="J78" s="14">
        <v>0.33200000000000002</v>
      </c>
      <c r="K78" s="14">
        <v>9.5000000000000001E-2</v>
      </c>
      <c r="L78" s="14">
        <v>0.13600000000000001</v>
      </c>
      <c r="M78" s="14">
        <v>4.8000000000000001E-2</v>
      </c>
      <c r="N78" s="14">
        <v>0.68799999999999994</v>
      </c>
      <c r="O78" s="14">
        <v>68.781096000000005</v>
      </c>
    </row>
    <row r="79" spans="1:15" x14ac:dyDescent="0.2">
      <c r="A79" s="21"/>
      <c r="B79" s="21">
        <v>70</v>
      </c>
      <c r="C79" s="14" t="s">
        <v>470</v>
      </c>
      <c r="D79" s="14" t="s">
        <v>811</v>
      </c>
      <c r="E79" s="14" t="s">
        <v>812</v>
      </c>
      <c r="F79" s="14">
        <v>4</v>
      </c>
      <c r="G79" s="14">
        <v>1847.659058</v>
      </c>
      <c r="H79" s="14">
        <v>6.0952270000000004</v>
      </c>
      <c r="I79" s="14">
        <v>7.2999999999999995E-2</v>
      </c>
      <c r="J79" s="14">
        <v>2.8000000000000001E-2</v>
      </c>
      <c r="K79" s="14">
        <v>0.11799999999999999</v>
      </c>
      <c r="L79" s="14">
        <v>1.903</v>
      </c>
      <c r="M79" s="14">
        <v>1.8779999999999999</v>
      </c>
      <c r="N79" s="14">
        <v>3.569</v>
      </c>
      <c r="O79" s="14">
        <v>89.228272000000004</v>
      </c>
    </row>
    <row r="80" spans="1:15" x14ac:dyDescent="0.2">
      <c r="A80" s="477">
        <v>17</v>
      </c>
      <c r="B80" s="477">
        <v>71</v>
      </c>
      <c r="C80" s="14" t="s">
        <v>475</v>
      </c>
      <c r="D80" s="14" t="s">
        <v>813</v>
      </c>
      <c r="E80" s="14" t="s">
        <v>814</v>
      </c>
      <c r="F80" s="14">
        <v>8.3330000000000002</v>
      </c>
      <c r="G80" s="14">
        <v>1074.414673</v>
      </c>
      <c r="H80" s="14">
        <v>386.32742300000001</v>
      </c>
      <c r="I80" s="14">
        <v>8.3330000000000002</v>
      </c>
      <c r="J80" s="14">
        <v>0</v>
      </c>
      <c r="K80" s="14">
        <v>0</v>
      </c>
      <c r="L80" s="14">
        <v>0</v>
      </c>
      <c r="M80" s="14">
        <v>0</v>
      </c>
      <c r="N80" s="14">
        <v>8.3330000000000002</v>
      </c>
      <c r="O80" s="14">
        <v>100</v>
      </c>
    </row>
    <row r="81" spans="1:15" x14ac:dyDescent="0.2">
      <c r="A81" s="21"/>
      <c r="B81" s="21">
        <v>72</v>
      </c>
      <c r="C81" s="14" t="s">
        <v>476</v>
      </c>
      <c r="D81" s="14" t="s">
        <v>815</v>
      </c>
      <c r="E81" s="14" t="s">
        <v>816</v>
      </c>
      <c r="F81" s="14">
        <v>1.5</v>
      </c>
      <c r="G81" s="14">
        <v>1294.5229489999999</v>
      </c>
      <c r="H81" s="14">
        <v>0.748085</v>
      </c>
      <c r="I81" s="14">
        <v>1.452</v>
      </c>
      <c r="J81" s="14">
        <v>4.8000000000000001E-2</v>
      </c>
      <c r="K81" s="14">
        <v>0</v>
      </c>
      <c r="L81" s="14">
        <v>0</v>
      </c>
      <c r="M81" s="14">
        <v>0</v>
      </c>
      <c r="N81" s="14">
        <v>1.498</v>
      </c>
      <c r="O81" s="14">
        <v>99.891352999999995</v>
      </c>
    </row>
    <row r="82" spans="1:15" x14ac:dyDescent="0.2">
      <c r="A82" s="21"/>
      <c r="B82" s="21">
        <v>73</v>
      </c>
      <c r="C82" s="14" t="s">
        <v>477</v>
      </c>
      <c r="D82" s="14" t="s">
        <v>816</v>
      </c>
      <c r="E82" s="14" t="s">
        <v>817</v>
      </c>
      <c r="F82" s="14">
        <v>4.2670000000000003</v>
      </c>
      <c r="G82" s="14">
        <v>1387.2261960000001</v>
      </c>
      <c r="H82" s="14">
        <v>0.16214000000000001</v>
      </c>
      <c r="I82" s="14">
        <v>4.1529999999999996</v>
      </c>
      <c r="J82" s="14">
        <v>9.1999999999999998E-2</v>
      </c>
      <c r="K82" s="14">
        <v>2.1999999999999999E-2</v>
      </c>
      <c r="L82" s="14">
        <v>0</v>
      </c>
      <c r="M82" s="14">
        <v>0</v>
      </c>
      <c r="N82" s="14">
        <v>4.2350000000000003</v>
      </c>
      <c r="O82" s="14">
        <v>99.264634000000001</v>
      </c>
    </row>
    <row r="83" spans="1:15" x14ac:dyDescent="0.2">
      <c r="A83" s="21"/>
      <c r="B83" s="21">
        <v>74</v>
      </c>
      <c r="C83" s="14" t="s">
        <v>478</v>
      </c>
      <c r="D83" s="14" t="s">
        <v>817</v>
      </c>
      <c r="E83" s="14" t="s">
        <v>818</v>
      </c>
      <c r="F83" s="14">
        <v>5</v>
      </c>
      <c r="G83" s="14">
        <v>1046.1854249999999</v>
      </c>
      <c r="H83" s="14">
        <v>120.01325199999999</v>
      </c>
      <c r="I83" s="14">
        <v>5</v>
      </c>
      <c r="J83" s="14">
        <v>0</v>
      </c>
      <c r="K83" s="14">
        <v>0</v>
      </c>
      <c r="L83" s="14">
        <v>0</v>
      </c>
      <c r="M83" s="14">
        <v>0</v>
      </c>
      <c r="N83" s="14">
        <v>5</v>
      </c>
      <c r="O83" s="14">
        <v>100</v>
      </c>
    </row>
    <row r="84" spans="1:15" x14ac:dyDescent="0.2">
      <c r="A84" s="477">
        <v>18</v>
      </c>
      <c r="B84" s="477">
        <v>75</v>
      </c>
      <c r="C84" s="14" t="s">
        <v>482</v>
      </c>
      <c r="D84" s="14" t="s">
        <v>819</v>
      </c>
      <c r="E84" s="14" t="s">
        <v>820</v>
      </c>
      <c r="F84" s="14">
        <v>7.4169999999999998</v>
      </c>
      <c r="G84" s="14">
        <v>1061.7346190000001</v>
      </c>
      <c r="H84" s="14">
        <v>367.47363300000001</v>
      </c>
      <c r="I84" s="14">
        <v>7.4169999999999998</v>
      </c>
      <c r="J84" s="14">
        <v>0</v>
      </c>
      <c r="K84" s="14">
        <v>0</v>
      </c>
      <c r="L84" s="14">
        <v>0</v>
      </c>
      <c r="M84" s="14">
        <v>0</v>
      </c>
      <c r="N84" s="14">
        <v>7.4169999999999998</v>
      </c>
      <c r="O84" s="14">
        <v>100</v>
      </c>
    </row>
    <row r="85" spans="1:15" x14ac:dyDescent="0.2">
      <c r="A85" s="15"/>
      <c r="B85" s="21">
        <v>76</v>
      </c>
      <c r="C85" s="14" t="s">
        <v>483</v>
      </c>
      <c r="D85" s="14" t="s">
        <v>821</v>
      </c>
      <c r="E85" s="14" t="s">
        <v>822</v>
      </c>
      <c r="F85" s="14">
        <v>13.25</v>
      </c>
      <c r="G85" s="14">
        <v>1441.81897</v>
      </c>
      <c r="H85" s="14">
        <v>0.37258400000000003</v>
      </c>
      <c r="I85" s="14">
        <v>12.997</v>
      </c>
      <c r="J85" s="14">
        <v>0.17799999999999999</v>
      </c>
      <c r="K85" s="14">
        <v>7.4999999999999997E-2</v>
      </c>
      <c r="L85" s="14">
        <v>0</v>
      </c>
      <c r="M85" s="14">
        <v>0</v>
      </c>
      <c r="N85" s="14">
        <v>13.147</v>
      </c>
      <c r="O85" s="14">
        <v>99.220412999999994</v>
      </c>
    </row>
    <row r="86" spans="1:15" x14ac:dyDescent="0.2">
      <c r="A86" s="477">
        <v>19</v>
      </c>
      <c r="B86" s="477">
        <v>77</v>
      </c>
      <c r="C86" s="14" t="s">
        <v>484</v>
      </c>
      <c r="D86" s="14" t="s">
        <v>823</v>
      </c>
      <c r="E86" s="14" t="s">
        <v>824</v>
      </c>
      <c r="F86" s="14">
        <v>8</v>
      </c>
      <c r="G86" s="14">
        <v>993.75598100000002</v>
      </c>
      <c r="H86" s="14">
        <v>305.59689300000002</v>
      </c>
      <c r="I86" s="14">
        <v>8</v>
      </c>
      <c r="J86" s="14">
        <v>0</v>
      </c>
      <c r="K86" s="14">
        <v>0</v>
      </c>
      <c r="L86" s="14">
        <v>0</v>
      </c>
      <c r="M86" s="14">
        <v>0</v>
      </c>
      <c r="N86" s="14">
        <v>8</v>
      </c>
      <c r="O86" s="14">
        <v>100</v>
      </c>
    </row>
    <row r="87" spans="1:15" x14ac:dyDescent="0.2">
      <c r="A87" s="477">
        <v>20</v>
      </c>
      <c r="B87" s="477">
        <v>78</v>
      </c>
      <c r="C87" s="14" t="s">
        <v>485</v>
      </c>
      <c r="D87" s="14" t="s">
        <v>825</v>
      </c>
      <c r="E87" s="14" t="s">
        <v>826</v>
      </c>
      <c r="F87" s="14">
        <v>8</v>
      </c>
      <c r="G87" s="14">
        <v>1298.3664550000001</v>
      </c>
      <c r="H87" s="14">
        <v>491.222015</v>
      </c>
      <c r="I87" s="14">
        <v>0</v>
      </c>
      <c r="J87" s="14">
        <v>8</v>
      </c>
      <c r="K87" s="14">
        <v>0</v>
      </c>
      <c r="L87" s="14">
        <v>0</v>
      </c>
      <c r="M87" s="14">
        <v>0</v>
      </c>
      <c r="N87" s="14">
        <v>7.907</v>
      </c>
      <c r="O87" s="14">
        <v>98.838907000000006</v>
      </c>
    </row>
    <row r="88" spans="1:15" x14ac:dyDescent="0.2">
      <c r="A88" s="21"/>
      <c r="B88" s="21">
        <v>79</v>
      </c>
      <c r="C88" s="14" t="s">
        <v>486</v>
      </c>
      <c r="D88" s="14" t="s">
        <v>826</v>
      </c>
      <c r="E88" s="14" t="s">
        <v>827</v>
      </c>
      <c r="F88" s="14">
        <v>6</v>
      </c>
      <c r="G88" s="14">
        <v>1646.8016359999999</v>
      </c>
      <c r="H88" s="14">
        <v>34.882423000000003</v>
      </c>
      <c r="I88" s="14">
        <v>5.7779999999999996</v>
      </c>
      <c r="J88" s="14">
        <v>0.14000000000000001</v>
      </c>
      <c r="K88" s="14">
        <v>2.1999999999999999E-2</v>
      </c>
      <c r="L88" s="14">
        <v>3.7999999999999999E-2</v>
      </c>
      <c r="M88" s="14">
        <v>2.1999999999999999E-2</v>
      </c>
      <c r="N88" s="14">
        <v>5.9409999999999998</v>
      </c>
      <c r="O88" s="14">
        <v>99.015820000000005</v>
      </c>
    </row>
    <row r="89" spans="1:15" x14ac:dyDescent="0.2">
      <c r="A89" s="21"/>
      <c r="B89" s="21">
        <v>80</v>
      </c>
      <c r="C89" s="14" t="s">
        <v>490</v>
      </c>
      <c r="D89" s="14" t="s">
        <v>827</v>
      </c>
      <c r="E89" s="14" t="s">
        <v>828</v>
      </c>
      <c r="F89" s="14">
        <v>8</v>
      </c>
      <c r="G89" s="14">
        <v>1775.304443</v>
      </c>
      <c r="H89" s="14">
        <v>0.75689300000000004</v>
      </c>
      <c r="I89" s="14">
        <v>4.8079999999999998</v>
      </c>
      <c r="J89" s="14">
        <v>2.177</v>
      </c>
      <c r="K89" s="14">
        <v>0.67800000000000005</v>
      </c>
      <c r="L89" s="14">
        <v>0.1</v>
      </c>
      <c r="M89" s="14">
        <v>0.23799999999999999</v>
      </c>
      <c r="N89" s="14">
        <v>6.7329999999999997</v>
      </c>
      <c r="O89" s="14">
        <v>84.163409000000001</v>
      </c>
    </row>
    <row r="90" spans="1:15" x14ac:dyDescent="0.2">
      <c r="A90" s="477">
        <v>21</v>
      </c>
      <c r="B90" s="477">
        <v>81</v>
      </c>
      <c r="C90" s="14" t="s">
        <v>493</v>
      </c>
      <c r="D90" s="14" t="s">
        <v>829</v>
      </c>
      <c r="E90" s="14" t="s">
        <v>830</v>
      </c>
      <c r="F90" s="14">
        <v>8</v>
      </c>
      <c r="G90" s="14">
        <v>1227.138794</v>
      </c>
      <c r="H90" s="14">
        <v>0</v>
      </c>
      <c r="I90" s="14">
        <v>8</v>
      </c>
      <c r="J90" s="14">
        <v>0</v>
      </c>
      <c r="K90" s="14">
        <v>0</v>
      </c>
      <c r="L90" s="14">
        <v>0</v>
      </c>
      <c r="M90" s="14">
        <v>0</v>
      </c>
      <c r="N90" s="14">
        <v>7.992</v>
      </c>
      <c r="O90" s="14">
        <v>99.897920999999997</v>
      </c>
    </row>
    <row r="91" spans="1:15" x14ac:dyDescent="0.2">
      <c r="A91" s="477">
        <v>22</v>
      </c>
      <c r="B91" s="477">
        <v>82</v>
      </c>
      <c r="C91" s="14" t="s">
        <v>494</v>
      </c>
      <c r="D91" s="14" t="s">
        <v>831</v>
      </c>
      <c r="E91" s="14" t="s">
        <v>832</v>
      </c>
      <c r="F91" s="14">
        <v>8</v>
      </c>
      <c r="G91" s="14">
        <v>894.64984100000004</v>
      </c>
      <c r="H91" s="14">
        <v>389.96899400000001</v>
      </c>
      <c r="I91" s="14">
        <v>8</v>
      </c>
      <c r="J91" s="14">
        <v>0</v>
      </c>
      <c r="K91" s="14">
        <v>0</v>
      </c>
      <c r="L91" s="14">
        <v>0</v>
      </c>
      <c r="M91" s="14">
        <v>0</v>
      </c>
      <c r="N91" s="14">
        <v>8</v>
      </c>
      <c r="O91" s="14">
        <v>100</v>
      </c>
    </row>
    <row r="92" spans="1:15" x14ac:dyDescent="0.2">
      <c r="A92" s="477">
        <v>23</v>
      </c>
      <c r="B92" s="477">
        <v>83</v>
      </c>
      <c r="C92" s="14" t="s">
        <v>495</v>
      </c>
      <c r="D92" s="14" t="s">
        <v>833</v>
      </c>
      <c r="E92" s="14" t="s">
        <v>834</v>
      </c>
      <c r="F92" s="14">
        <v>1</v>
      </c>
      <c r="G92" s="14">
        <v>1281.726807</v>
      </c>
      <c r="H92" s="14">
        <v>344.96533199999999</v>
      </c>
      <c r="I92" s="14">
        <v>0</v>
      </c>
      <c r="J92" s="14">
        <v>1</v>
      </c>
      <c r="K92" s="14">
        <v>0</v>
      </c>
      <c r="L92" s="14">
        <v>0</v>
      </c>
      <c r="M92" s="14">
        <v>0</v>
      </c>
      <c r="N92" s="14">
        <v>1</v>
      </c>
      <c r="O92" s="14">
        <v>100</v>
      </c>
    </row>
    <row r="93" spans="1:15" x14ac:dyDescent="0.2">
      <c r="A93" s="21"/>
      <c r="B93" s="21">
        <v>84</v>
      </c>
      <c r="C93" s="14" t="s">
        <v>496</v>
      </c>
      <c r="D93" s="14" t="s">
        <v>835</v>
      </c>
      <c r="E93" s="14" t="s">
        <v>836</v>
      </c>
      <c r="F93" s="14">
        <v>1.5</v>
      </c>
      <c r="G93" s="14">
        <v>1684.190186</v>
      </c>
      <c r="H93" s="14">
        <v>44.597400999999998</v>
      </c>
      <c r="I93" s="14">
        <v>0.371</v>
      </c>
      <c r="J93" s="14">
        <v>0.99299999999999999</v>
      </c>
      <c r="K93" s="14">
        <v>1.7999999999999999E-2</v>
      </c>
      <c r="L93" s="14">
        <v>6.2E-2</v>
      </c>
      <c r="M93" s="14">
        <v>5.7000000000000002E-2</v>
      </c>
      <c r="N93" s="14">
        <v>1.47</v>
      </c>
      <c r="O93" s="14">
        <v>98.021066000000005</v>
      </c>
    </row>
    <row r="94" spans="1:15" x14ac:dyDescent="0.2">
      <c r="A94" s="21"/>
      <c r="B94" s="21">
        <v>85</v>
      </c>
      <c r="C94" s="14" t="s">
        <v>497</v>
      </c>
      <c r="D94" s="14" t="s">
        <v>837</v>
      </c>
      <c r="E94" s="14" t="s">
        <v>838</v>
      </c>
      <c r="F94" s="14">
        <v>5.5</v>
      </c>
      <c r="G94" s="14">
        <v>1165.3350829999999</v>
      </c>
      <c r="H94" s="14">
        <v>278.56896999999998</v>
      </c>
      <c r="I94" s="14">
        <v>5.5</v>
      </c>
      <c r="J94" s="14">
        <v>0</v>
      </c>
      <c r="K94" s="14">
        <v>0</v>
      </c>
      <c r="L94" s="14">
        <v>0</v>
      </c>
      <c r="M94" s="14">
        <v>0</v>
      </c>
      <c r="N94" s="14">
        <v>5.0720000000000001</v>
      </c>
      <c r="O94" s="14">
        <v>92.216854999999995</v>
      </c>
    </row>
    <row r="95" spans="1:15" x14ac:dyDescent="0.2">
      <c r="A95" s="21"/>
      <c r="B95" s="21">
        <v>86</v>
      </c>
      <c r="C95" s="14" t="s">
        <v>499</v>
      </c>
      <c r="D95" s="14" t="s">
        <v>838</v>
      </c>
      <c r="E95" s="14" t="s">
        <v>839</v>
      </c>
      <c r="F95" s="14">
        <v>3.883</v>
      </c>
      <c r="G95" s="14">
        <v>1364.470947</v>
      </c>
      <c r="H95" s="14">
        <v>3.7553679999999998</v>
      </c>
      <c r="I95" s="14">
        <v>3.7570000000000001</v>
      </c>
      <c r="J95" s="14">
        <v>8.2000000000000003E-2</v>
      </c>
      <c r="K95" s="14">
        <v>4.4999999999999998E-2</v>
      </c>
      <c r="L95" s="14">
        <v>0</v>
      </c>
      <c r="M95" s="14">
        <v>0</v>
      </c>
      <c r="N95" s="14">
        <v>3.8820000000000001</v>
      </c>
      <c r="O95" s="14">
        <v>99.955832999999998</v>
      </c>
    </row>
    <row r="96" spans="1:15" x14ac:dyDescent="0.2">
      <c r="A96" s="21"/>
      <c r="B96" s="21">
        <v>87</v>
      </c>
      <c r="C96" s="14" t="s">
        <v>502</v>
      </c>
      <c r="D96" s="14" t="s">
        <v>839</v>
      </c>
      <c r="E96" s="14" t="s">
        <v>840</v>
      </c>
      <c r="F96" s="14">
        <v>4</v>
      </c>
      <c r="G96" s="14">
        <v>1746.005981</v>
      </c>
      <c r="H96" s="14">
        <v>83.082358999999997</v>
      </c>
      <c r="I96" s="14">
        <v>3.7589999999999999</v>
      </c>
      <c r="J96" s="14">
        <v>8.6999999999999994E-2</v>
      </c>
      <c r="K96" s="14">
        <v>1.7000000000000001E-2</v>
      </c>
      <c r="L96" s="14">
        <v>2.8000000000000001E-2</v>
      </c>
      <c r="M96" s="14">
        <v>0.11</v>
      </c>
      <c r="N96" s="14">
        <v>3.968</v>
      </c>
      <c r="O96" s="14">
        <v>99.199003000000005</v>
      </c>
    </row>
    <row r="97" spans="1:15" x14ac:dyDescent="0.2">
      <c r="A97" s="477">
        <v>24</v>
      </c>
      <c r="B97" s="477">
        <v>88</v>
      </c>
      <c r="C97" s="14" t="s">
        <v>504</v>
      </c>
      <c r="D97" s="14" t="s">
        <v>841</v>
      </c>
      <c r="E97" s="14" t="s">
        <v>842</v>
      </c>
      <c r="F97" s="14">
        <v>5.75</v>
      </c>
      <c r="G97" s="14">
        <v>654.05310099999997</v>
      </c>
      <c r="H97" s="14">
        <v>547.64141800000004</v>
      </c>
      <c r="I97" s="14">
        <v>5.75</v>
      </c>
      <c r="J97" s="14">
        <v>0</v>
      </c>
      <c r="K97" s="14">
        <v>0</v>
      </c>
      <c r="L97" s="14">
        <v>0</v>
      </c>
      <c r="M97" s="14">
        <v>0</v>
      </c>
      <c r="N97" s="14">
        <v>5.75</v>
      </c>
      <c r="O97" s="14">
        <v>100</v>
      </c>
    </row>
    <row r="98" spans="1:15" x14ac:dyDescent="0.2">
      <c r="A98" s="477">
        <v>25</v>
      </c>
      <c r="B98" s="477">
        <v>89</v>
      </c>
      <c r="C98" s="14" t="s">
        <v>505</v>
      </c>
      <c r="D98" s="14" t="s">
        <v>843</v>
      </c>
      <c r="E98" s="14" t="s">
        <v>844</v>
      </c>
      <c r="F98" s="14">
        <v>8</v>
      </c>
      <c r="G98" s="14">
        <v>676.72473100000002</v>
      </c>
      <c r="H98" s="14">
        <v>548.27563499999997</v>
      </c>
      <c r="I98" s="14">
        <v>8</v>
      </c>
      <c r="J98" s="14">
        <v>0</v>
      </c>
      <c r="K98" s="14">
        <v>0</v>
      </c>
      <c r="L98" s="14">
        <v>0</v>
      </c>
      <c r="M98" s="14">
        <v>0</v>
      </c>
      <c r="N98" s="14">
        <v>8</v>
      </c>
      <c r="O98" s="14">
        <v>100</v>
      </c>
    </row>
    <row r="99" spans="1:15" x14ac:dyDescent="0.2">
      <c r="A99" s="477">
        <v>26</v>
      </c>
      <c r="B99" s="477">
        <v>90</v>
      </c>
      <c r="C99" s="14" t="s">
        <v>506</v>
      </c>
      <c r="D99" s="14" t="s">
        <v>845</v>
      </c>
      <c r="E99" s="14" t="s">
        <v>846</v>
      </c>
      <c r="F99" s="14">
        <v>6.5</v>
      </c>
      <c r="G99" s="14">
        <v>1324.045288</v>
      </c>
      <c r="H99" s="14">
        <v>460.87616000000003</v>
      </c>
      <c r="I99" s="14">
        <v>0</v>
      </c>
      <c r="J99" s="14">
        <v>6.5</v>
      </c>
      <c r="K99" s="14">
        <v>0</v>
      </c>
      <c r="L99" s="14">
        <v>0</v>
      </c>
      <c r="M99" s="14">
        <v>0</v>
      </c>
      <c r="N99" s="14">
        <v>6.1749999999999998</v>
      </c>
      <c r="O99" s="14">
        <v>94.999999000000003</v>
      </c>
    </row>
    <row r="100" spans="1:15" x14ac:dyDescent="0.2">
      <c r="A100" s="21"/>
      <c r="B100" s="21">
        <v>91</v>
      </c>
      <c r="C100" s="14" t="s">
        <v>507</v>
      </c>
      <c r="D100" s="14" t="s">
        <v>847</v>
      </c>
      <c r="E100" s="14" t="s">
        <v>848</v>
      </c>
      <c r="F100" s="14">
        <v>5</v>
      </c>
      <c r="G100" s="14">
        <v>1598.6899410000001</v>
      </c>
      <c r="H100" s="14">
        <v>278.67254600000001</v>
      </c>
      <c r="I100" s="14">
        <v>0</v>
      </c>
      <c r="J100" s="14">
        <v>0</v>
      </c>
      <c r="K100" s="14">
        <v>0</v>
      </c>
      <c r="L100" s="14">
        <v>5</v>
      </c>
      <c r="M100" s="14">
        <v>0</v>
      </c>
      <c r="N100" s="14">
        <v>0.14199999999999999</v>
      </c>
      <c r="O100" s="14">
        <v>2.8364419999999999</v>
      </c>
    </row>
    <row r="101" spans="1:15" x14ac:dyDescent="0.2">
      <c r="A101" s="21"/>
      <c r="B101" s="21">
        <v>92</v>
      </c>
      <c r="C101" s="14" t="s">
        <v>508</v>
      </c>
      <c r="D101" s="14" t="s">
        <v>848</v>
      </c>
      <c r="E101" s="14" t="s">
        <v>849</v>
      </c>
      <c r="F101" s="14">
        <v>5</v>
      </c>
      <c r="G101" s="14">
        <v>1591.802246</v>
      </c>
      <c r="H101" s="14">
        <v>518.71606399999996</v>
      </c>
      <c r="I101" s="14">
        <v>0</v>
      </c>
      <c r="J101" s="14">
        <v>0</v>
      </c>
      <c r="K101" s="14">
        <v>0</v>
      </c>
      <c r="L101" s="14">
        <v>5</v>
      </c>
      <c r="M101" s="14">
        <v>0</v>
      </c>
      <c r="N101" s="14">
        <v>2.2080000000000002</v>
      </c>
      <c r="O101" s="14">
        <v>44.162892999999997</v>
      </c>
    </row>
    <row r="102" spans="1:15" x14ac:dyDescent="0.2">
      <c r="A102" s="21"/>
      <c r="B102" s="21">
        <v>93</v>
      </c>
      <c r="C102" s="14" t="s">
        <v>509</v>
      </c>
      <c r="D102" s="14" t="s">
        <v>849</v>
      </c>
      <c r="E102" s="14" t="s">
        <v>850</v>
      </c>
      <c r="F102" s="14">
        <v>5</v>
      </c>
      <c r="G102" s="14">
        <v>1561.5043949999999</v>
      </c>
      <c r="H102" s="14">
        <v>660.88378899999998</v>
      </c>
      <c r="I102" s="14">
        <v>0</v>
      </c>
      <c r="J102" s="14">
        <v>0</v>
      </c>
      <c r="K102" s="14">
        <v>1.877</v>
      </c>
      <c r="L102" s="14">
        <v>3.1230000000000002</v>
      </c>
      <c r="M102" s="14">
        <v>0</v>
      </c>
      <c r="N102" s="14">
        <v>3.9140000000000001</v>
      </c>
      <c r="O102" s="14">
        <v>78.289514999999994</v>
      </c>
    </row>
    <row r="103" spans="1:15" x14ac:dyDescent="0.2">
      <c r="A103" s="21"/>
      <c r="B103" s="21">
        <v>94</v>
      </c>
      <c r="C103" s="14" t="s">
        <v>510</v>
      </c>
      <c r="D103" s="14" t="s">
        <v>850</v>
      </c>
      <c r="E103" s="14" t="s">
        <v>851</v>
      </c>
      <c r="F103" s="14">
        <v>5</v>
      </c>
      <c r="G103" s="14">
        <v>1456.750366</v>
      </c>
      <c r="H103" s="14">
        <v>518.27710000000002</v>
      </c>
      <c r="I103" s="14">
        <v>3.0000000000000001E-3</v>
      </c>
      <c r="J103" s="14">
        <v>3.0910000000000002</v>
      </c>
      <c r="K103" s="14">
        <v>1.9039999999999999</v>
      </c>
      <c r="L103" s="14">
        <v>2E-3</v>
      </c>
      <c r="M103" s="14">
        <v>0</v>
      </c>
      <c r="N103" s="14">
        <v>4.3730000000000002</v>
      </c>
      <c r="O103" s="14">
        <v>87.457060999999996</v>
      </c>
    </row>
    <row r="104" spans="1:15" x14ac:dyDescent="0.2">
      <c r="A104" s="21"/>
      <c r="B104" s="21">
        <v>95</v>
      </c>
      <c r="C104" s="14" t="s">
        <v>511</v>
      </c>
      <c r="D104" s="14" t="s">
        <v>851</v>
      </c>
      <c r="E104" s="14" t="s">
        <v>852</v>
      </c>
      <c r="F104" s="14">
        <v>5</v>
      </c>
      <c r="G104" s="14">
        <v>1666.805664</v>
      </c>
      <c r="H104" s="14">
        <v>322.73541299999999</v>
      </c>
      <c r="I104" s="14">
        <v>0</v>
      </c>
      <c r="J104" s="14">
        <v>3.0000000000000001E-3</v>
      </c>
      <c r="K104" s="14">
        <v>0.99399999999999999</v>
      </c>
      <c r="L104" s="14">
        <v>2.6709999999999998</v>
      </c>
      <c r="M104" s="14">
        <v>1.3320000000000001</v>
      </c>
      <c r="N104" s="14">
        <v>3.2589999999999999</v>
      </c>
      <c r="O104" s="14">
        <v>65.186751000000001</v>
      </c>
    </row>
    <row r="105" spans="1:15" x14ac:dyDescent="0.2">
      <c r="A105" s="21"/>
      <c r="B105" s="21">
        <v>96</v>
      </c>
      <c r="C105" s="14" t="s">
        <v>512</v>
      </c>
      <c r="D105" s="14" t="s">
        <v>852</v>
      </c>
      <c r="E105" s="14" t="s">
        <v>853</v>
      </c>
      <c r="F105" s="14">
        <v>0.85</v>
      </c>
      <c r="G105" s="14">
        <v>1701.3626710000001</v>
      </c>
      <c r="H105" s="14">
        <v>279.232574</v>
      </c>
      <c r="I105" s="14">
        <v>0</v>
      </c>
      <c r="J105" s="14">
        <v>0</v>
      </c>
      <c r="K105" s="14">
        <v>0</v>
      </c>
      <c r="L105" s="14">
        <v>0</v>
      </c>
      <c r="M105" s="14">
        <v>0.85</v>
      </c>
      <c r="N105" s="14">
        <v>0.80700000000000005</v>
      </c>
      <c r="O105" s="14">
        <v>94.999999000000003</v>
      </c>
    </row>
    <row r="106" spans="1:15" x14ac:dyDescent="0.2">
      <c r="A106" s="477">
        <v>27</v>
      </c>
      <c r="B106" s="477">
        <v>97</v>
      </c>
      <c r="C106" s="14" t="s">
        <v>513</v>
      </c>
      <c r="D106" s="14" t="s">
        <v>854</v>
      </c>
      <c r="E106" s="14" t="s">
        <v>855</v>
      </c>
      <c r="F106" s="14">
        <v>2.95</v>
      </c>
      <c r="G106" s="14">
        <v>1667.9239500000001</v>
      </c>
      <c r="H106" s="14">
        <v>312.70053100000001</v>
      </c>
      <c r="I106" s="14">
        <v>0</v>
      </c>
      <c r="J106" s="14">
        <v>0</v>
      </c>
      <c r="K106" s="14">
        <v>0</v>
      </c>
      <c r="L106" s="14">
        <v>0</v>
      </c>
      <c r="M106" s="14">
        <v>2.95</v>
      </c>
      <c r="N106" s="14">
        <v>2.802</v>
      </c>
      <c r="O106" s="14">
        <v>94.999999000000003</v>
      </c>
    </row>
    <row r="107" spans="1:15" x14ac:dyDescent="0.2">
      <c r="A107" s="21"/>
      <c r="B107" s="21">
        <v>98</v>
      </c>
      <c r="C107" s="14" t="s">
        <v>514</v>
      </c>
      <c r="D107" s="14" t="s">
        <v>856</v>
      </c>
      <c r="E107" s="14" t="s">
        <v>857</v>
      </c>
      <c r="F107" s="14">
        <v>4.0830000000000002</v>
      </c>
      <c r="G107" s="14">
        <v>1740.3957519999999</v>
      </c>
      <c r="H107" s="14">
        <v>249.86604299999999</v>
      </c>
      <c r="I107" s="14">
        <v>0</v>
      </c>
      <c r="J107" s="14">
        <v>0</v>
      </c>
      <c r="K107" s="14">
        <v>7.0000000000000001E-3</v>
      </c>
      <c r="L107" s="14">
        <v>0.1</v>
      </c>
      <c r="M107" s="14">
        <v>3.9769999999999999</v>
      </c>
      <c r="N107" s="14">
        <v>2.8679999999999999</v>
      </c>
      <c r="O107" s="14">
        <v>70.232873999999995</v>
      </c>
    </row>
    <row r="108" spans="1:15" x14ac:dyDescent="0.2">
      <c r="A108" s="21"/>
      <c r="B108" s="21">
        <v>99</v>
      </c>
      <c r="C108" s="14" t="s">
        <v>515</v>
      </c>
      <c r="D108" s="14" t="s">
        <v>857</v>
      </c>
      <c r="E108" s="14" t="s">
        <v>858</v>
      </c>
      <c r="F108" s="14">
        <v>3.4</v>
      </c>
      <c r="G108" s="14">
        <v>1644.0389399999999</v>
      </c>
      <c r="H108" s="14">
        <v>173.56210300000001</v>
      </c>
      <c r="I108" s="14">
        <v>6.7000000000000004E-2</v>
      </c>
      <c r="J108" s="14">
        <v>3.2029999999999998</v>
      </c>
      <c r="K108" s="14">
        <v>7.2999999999999995E-2</v>
      </c>
      <c r="L108" s="14">
        <v>4.2999999999999997E-2</v>
      </c>
      <c r="M108" s="14">
        <v>1.2999999999999999E-2</v>
      </c>
      <c r="N108" s="14">
        <v>0.18</v>
      </c>
      <c r="O108" s="14">
        <v>5.3023030000000002</v>
      </c>
    </row>
    <row r="109" spans="1:15" x14ac:dyDescent="0.2">
      <c r="A109" s="21"/>
      <c r="B109" s="21">
        <v>100</v>
      </c>
      <c r="C109" s="14" t="s">
        <v>516</v>
      </c>
      <c r="D109" s="14" t="s">
        <v>858</v>
      </c>
      <c r="E109" s="14" t="s">
        <v>859</v>
      </c>
      <c r="F109" s="14">
        <v>3.867</v>
      </c>
      <c r="G109" s="14">
        <v>1660.30835</v>
      </c>
      <c r="H109" s="14">
        <v>454.84765599999997</v>
      </c>
      <c r="I109" s="14">
        <v>2.8559999999999999</v>
      </c>
      <c r="J109" s="14">
        <v>0.54300000000000004</v>
      </c>
      <c r="K109" s="14">
        <v>0.38300000000000001</v>
      </c>
      <c r="L109" s="14">
        <v>5.7000000000000002E-2</v>
      </c>
      <c r="M109" s="14">
        <v>2.8000000000000001E-2</v>
      </c>
      <c r="N109" s="14">
        <v>3.778</v>
      </c>
      <c r="O109" s="14">
        <v>97.703832000000006</v>
      </c>
    </row>
    <row r="110" spans="1:15" x14ac:dyDescent="0.2">
      <c r="A110" s="21"/>
      <c r="B110" s="21">
        <v>101</v>
      </c>
      <c r="C110" s="14" t="s">
        <v>519</v>
      </c>
      <c r="D110" s="14" t="s">
        <v>859</v>
      </c>
      <c r="E110" s="14" t="s">
        <v>860</v>
      </c>
      <c r="F110" s="14">
        <v>3</v>
      </c>
      <c r="G110" s="14">
        <v>1786.4250489999999</v>
      </c>
      <c r="H110" s="14">
        <v>0.66700400000000004</v>
      </c>
      <c r="I110" s="14">
        <v>0.20799999999999999</v>
      </c>
      <c r="J110" s="14">
        <v>2.657</v>
      </c>
      <c r="K110" s="14">
        <v>6.7000000000000004E-2</v>
      </c>
      <c r="L110" s="14">
        <v>2.7E-2</v>
      </c>
      <c r="M110" s="14">
        <v>4.2000000000000003E-2</v>
      </c>
      <c r="N110" s="14">
        <v>2.9279999999999999</v>
      </c>
      <c r="O110" s="14">
        <v>97.609109000000004</v>
      </c>
    </row>
    <row r="111" spans="1:15" x14ac:dyDescent="0.2">
      <c r="A111" s="21"/>
      <c r="B111" s="21">
        <v>102</v>
      </c>
      <c r="C111" s="14" t="s">
        <v>520</v>
      </c>
      <c r="D111" s="14" t="s">
        <v>861</v>
      </c>
      <c r="E111" s="14" t="s">
        <v>862</v>
      </c>
      <c r="F111" s="14">
        <v>2.5</v>
      </c>
      <c r="G111" s="14">
        <v>1328.8424070000001</v>
      </c>
      <c r="H111" s="14">
        <v>2.112269</v>
      </c>
      <c r="I111" s="14">
        <v>1.988</v>
      </c>
      <c r="J111" s="14">
        <v>0.51200000000000001</v>
      </c>
      <c r="K111" s="14">
        <v>0</v>
      </c>
      <c r="L111" s="14">
        <v>0</v>
      </c>
      <c r="M111" s="14">
        <v>0</v>
      </c>
      <c r="N111" s="14">
        <v>2.4820000000000002</v>
      </c>
      <c r="O111" s="14">
        <v>99.277597999999998</v>
      </c>
    </row>
    <row r="112" spans="1:15" x14ac:dyDescent="0.2">
      <c r="A112" s="21"/>
      <c r="B112" s="21">
        <v>103</v>
      </c>
      <c r="C112" s="14" t="s">
        <v>523</v>
      </c>
      <c r="D112" s="14" t="s">
        <v>863</v>
      </c>
      <c r="E112" s="14" t="s">
        <v>864</v>
      </c>
      <c r="F112" s="14">
        <v>2</v>
      </c>
      <c r="G112" s="14">
        <v>1742.8891599999999</v>
      </c>
      <c r="H112" s="14">
        <v>4.423832</v>
      </c>
      <c r="I112" s="14">
        <v>1.655</v>
      </c>
      <c r="J112" s="14">
        <v>8.7999999999999995E-2</v>
      </c>
      <c r="K112" s="14">
        <v>0.17599999999999999</v>
      </c>
      <c r="L112" s="14">
        <v>3.5000000000000003E-2</v>
      </c>
      <c r="M112" s="14">
        <v>4.5999999999999999E-2</v>
      </c>
      <c r="N112" s="14">
        <v>1.8129999999999999</v>
      </c>
      <c r="O112" s="14">
        <v>90.663904000000002</v>
      </c>
    </row>
    <row r="113" spans="1:15" x14ac:dyDescent="0.2">
      <c r="A113" s="21"/>
      <c r="B113" s="21">
        <v>104</v>
      </c>
      <c r="C113" s="14" t="s">
        <v>524</v>
      </c>
      <c r="D113" s="14" t="s">
        <v>864</v>
      </c>
      <c r="E113" s="14" t="s">
        <v>865</v>
      </c>
      <c r="F113" s="14">
        <v>3</v>
      </c>
      <c r="G113" s="14">
        <v>1685.6832280000001</v>
      </c>
      <c r="H113" s="14">
        <v>1.249606</v>
      </c>
      <c r="I113" s="14">
        <v>1.998</v>
      </c>
      <c r="J113" s="14">
        <v>0.33300000000000002</v>
      </c>
      <c r="K113" s="14">
        <v>0.45</v>
      </c>
      <c r="L113" s="14">
        <v>0.20499999999999999</v>
      </c>
      <c r="M113" s="14">
        <v>1.4999999999999999E-2</v>
      </c>
      <c r="N113" s="14">
        <v>2.2719999999999998</v>
      </c>
      <c r="O113" s="14">
        <v>75.731962999999993</v>
      </c>
    </row>
    <row r="114" spans="1:15" x14ac:dyDescent="0.2">
      <c r="A114" s="21"/>
      <c r="B114" s="21">
        <v>105</v>
      </c>
      <c r="C114" s="14" t="s">
        <v>525</v>
      </c>
      <c r="D114" s="14" t="s">
        <v>865</v>
      </c>
      <c r="E114" s="14" t="s">
        <v>866</v>
      </c>
      <c r="F114" s="14">
        <v>5</v>
      </c>
      <c r="G114" s="14">
        <v>1613.14624</v>
      </c>
      <c r="H114" s="14">
        <v>0.61778</v>
      </c>
      <c r="I114" s="14">
        <v>1.349</v>
      </c>
      <c r="J114" s="14">
        <v>1.073</v>
      </c>
      <c r="K114" s="14">
        <v>1.7270000000000001</v>
      </c>
      <c r="L114" s="14">
        <v>0.84099999999999997</v>
      </c>
      <c r="M114" s="14">
        <v>0.01</v>
      </c>
      <c r="N114" s="14">
        <v>3.819</v>
      </c>
      <c r="O114" s="14">
        <v>76.382416000000006</v>
      </c>
    </row>
    <row r="115" spans="1:15" x14ac:dyDescent="0.2">
      <c r="A115" s="477">
        <v>28</v>
      </c>
      <c r="B115" s="477">
        <v>106</v>
      </c>
      <c r="C115" s="14" t="s">
        <v>529</v>
      </c>
      <c r="D115" s="14" t="s">
        <v>867</v>
      </c>
      <c r="E115" s="14" t="s">
        <v>868</v>
      </c>
      <c r="F115" s="14">
        <v>6</v>
      </c>
      <c r="G115" s="14">
        <v>790.16918899999996</v>
      </c>
      <c r="H115" s="14">
        <v>296.99206500000003</v>
      </c>
      <c r="I115" s="14">
        <v>6</v>
      </c>
      <c r="J115" s="14">
        <v>0</v>
      </c>
      <c r="K115" s="14">
        <v>0</v>
      </c>
      <c r="L115" s="14">
        <v>0</v>
      </c>
      <c r="M115" s="14">
        <v>0</v>
      </c>
      <c r="N115" s="14">
        <v>5.819</v>
      </c>
      <c r="O115" s="14">
        <v>96.978055999999995</v>
      </c>
    </row>
    <row r="116" spans="1:15" x14ac:dyDescent="0.2">
      <c r="A116" s="21"/>
      <c r="B116" s="21">
        <v>107</v>
      </c>
      <c r="C116" s="14" t="s">
        <v>530</v>
      </c>
      <c r="D116" s="14" t="s">
        <v>869</v>
      </c>
      <c r="E116" s="14" t="s">
        <v>870</v>
      </c>
      <c r="F116" s="14">
        <v>4</v>
      </c>
      <c r="G116" s="14">
        <v>1094.7802730000001</v>
      </c>
      <c r="H116" s="14">
        <v>216.28779599999999</v>
      </c>
      <c r="I116" s="14">
        <v>4</v>
      </c>
      <c r="J116" s="14">
        <v>0</v>
      </c>
      <c r="K116" s="14">
        <v>0</v>
      </c>
      <c r="L116" s="14">
        <v>0</v>
      </c>
      <c r="M116" s="14">
        <v>0</v>
      </c>
      <c r="N116" s="14">
        <v>3.9980000000000002</v>
      </c>
      <c r="O116" s="14">
        <v>99.959200999999993</v>
      </c>
    </row>
    <row r="117" spans="1:15" x14ac:dyDescent="0.2">
      <c r="A117" s="21"/>
      <c r="B117" s="21">
        <v>108</v>
      </c>
      <c r="C117" s="14" t="s">
        <v>533</v>
      </c>
      <c r="D117" s="14" t="s">
        <v>870</v>
      </c>
      <c r="E117" s="14" t="s">
        <v>871</v>
      </c>
      <c r="F117" s="14">
        <v>9.85</v>
      </c>
      <c r="G117" s="14">
        <v>1387.2873540000001</v>
      </c>
      <c r="H117" s="14">
        <v>88.102226000000002</v>
      </c>
      <c r="I117" s="14">
        <v>9.7669999999999995</v>
      </c>
      <c r="J117" s="14">
        <v>3.3000000000000002E-2</v>
      </c>
      <c r="K117" s="14">
        <v>0.05</v>
      </c>
      <c r="L117" s="14">
        <v>0</v>
      </c>
      <c r="M117" s="14">
        <v>0</v>
      </c>
      <c r="N117" s="14">
        <v>9.8320000000000007</v>
      </c>
      <c r="O117" s="14">
        <v>99.814509999999999</v>
      </c>
    </row>
    <row r="118" spans="1:15" x14ac:dyDescent="0.2">
      <c r="A118" s="21"/>
      <c r="B118" s="21">
        <v>109</v>
      </c>
      <c r="C118" s="14" t="s">
        <v>535</v>
      </c>
      <c r="D118" s="14" t="s">
        <v>871</v>
      </c>
      <c r="E118" s="14" t="s">
        <v>872</v>
      </c>
      <c r="F118" s="14">
        <v>7.8170000000000002</v>
      </c>
      <c r="G118" s="14">
        <v>1126.990845</v>
      </c>
      <c r="H118" s="14">
        <v>239.113922</v>
      </c>
      <c r="I118" s="14">
        <v>7.8170000000000002</v>
      </c>
      <c r="J118" s="14">
        <v>0</v>
      </c>
      <c r="K118" s="14">
        <v>0</v>
      </c>
      <c r="L118" s="14">
        <v>0</v>
      </c>
      <c r="M118" s="14">
        <v>0</v>
      </c>
      <c r="N118" s="14">
        <v>7.8170000000000002</v>
      </c>
      <c r="O118" s="14">
        <v>100</v>
      </c>
    </row>
    <row r="119" spans="1:15" x14ac:dyDescent="0.2">
      <c r="A119" s="477">
        <v>29</v>
      </c>
      <c r="B119" s="477">
        <v>110</v>
      </c>
      <c r="C119" s="14" t="s">
        <v>536</v>
      </c>
      <c r="D119" s="14" t="s">
        <v>873</v>
      </c>
      <c r="E119" s="14" t="s">
        <v>874</v>
      </c>
      <c r="F119" s="14">
        <v>8</v>
      </c>
      <c r="G119" s="14">
        <v>1360.483154</v>
      </c>
      <c r="H119" s="14">
        <v>298.40475500000002</v>
      </c>
      <c r="I119" s="14">
        <v>2.7890000000000001</v>
      </c>
      <c r="J119" s="14">
        <v>4.2640000000000002</v>
      </c>
      <c r="K119" s="14">
        <v>0.94599999999999995</v>
      </c>
      <c r="L119" s="14">
        <v>0</v>
      </c>
      <c r="M119" s="14">
        <v>0</v>
      </c>
      <c r="N119" s="14">
        <v>6.0650000000000004</v>
      </c>
      <c r="O119" s="14">
        <v>75.818579999999997</v>
      </c>
    </row>
    <row r="120" spans="1:15" x14ac:dyDescent="0.2">
      <c r="A120" s="21"/>
      <c r="B120" s="21">
        <v>111</v>
      </c>
      <c r="C120" s="14" t="s">
        <v>537</v>
      </c>
      <c r="D120" s="14" t="s">
        <v>875</v>
      </c>
      <c r="E120" s="14" t="s">
        <v>876</v>
      </c>
      <c r="F120" s="14">
        <v>9.8670000000000009</v>
      </c>
      <c r="G120" s="14">
        <v>1415.8532709999999</v>
      </c>
      <c r="H120" s="14">
        <v>0.71507200000000004</v>
      </c>
      <c r="I120" s="14">
        <v>9.7129999999999992</v>
      </c>
      <c r="J120" s="14">
        <v>5.8000000000000003E-2</v>
      </c>
      <c r="K120" s="14">
        <v>9.5000000000000001E-2</v>
      </c>
      <c r="L120" s="14">
        <v>0</v>
      </c>
      <c r="M120" s="14">
        <v>0</v>
      </c>
      <c r="N120" s="14">
        <v>9.8309999999999995</v>
      </c>
      <c r="O120" s="14">
        <v>99.643086999999994</v>
      </c>
    </row>
    <row r="121" spans="1:15" x14ac:dyDescent="0.2">
      <c r="A121" s="477">
        <v>30</v>
      </c>
      <c r="B121" s="477">
        <v>112</v>
      </c>
      <c r="C121" s="14" t="s">
        <v>540</v>
      </c>
      <c r="D121" s="14" t="s">
        <v>877</v>
      </c>
      <c r="E121" s="14" t="s">
        <v>878</v>
      </c>
      <c r="F121" s="14">
        <v>8</v>
      </c>
      <c r="G121" s="14">
        <v>1016.348022</v>
      </c>
      <c r="H121" s="14">
        <v>445.33126800000002</v>
      </c>
      <c r="I121" s="14">
        <v>8</v>
      </c>
      <c r="J121" s="14">
        <v>0</v>
      </c>
      <c r="K121" s="14">
        <v>0</v>
      </c>
      <c r="L121" s="14">
        <v>0</v>
      </c>
      <c r="M121" s="14">
        <v>0</v>
      </c>
      <c r="N121" s="14">
        <v>8</v>
      </c>
      <c r="O121" s="14">
        <v>100</v>
      </c>
    </row>
    <row r="122" spans="1:15" x14ac:dyDescent="0.2">
      <c r="A122" s="477">
        <v>31</v>
      </c>
      <c r="B122" s="477">
        <v>113</v>
      </c>
      <c r="C122" s="14" t="s">
        <v>541</v>
      </c>
      <c r="D122" s="14" t="s">
        <v>879</v>
      </c>
      <c r="E122" s="14" t="s">
        <v>880</v>
      </c>
      <c r="F122" s="14">
        <v>8</v>
      </c>
      <c r="G122" s="14">
        <v>1013.095093</v>
      </c>
      <c r="H122" s="14">
        <v>439.93356299999999</v>
      </c>
      <c r="I122" s="14">
        <v>8</v>
      </c>
      <c r="J122" s="14">
        <v>0</v>
      </c>
      <c r="K122" s="14">
        <v>0</v>
      </c>
      <c r="L122" s="14">
        <v>0</v>
      </c>
      <c r="M122" s="14">
        <v>0</v>
      </c>
      <c r="N122" s="14">
        <v>8</v>
      </c>
      <c r="O122" s="14">
        <v>100</v>
      </c>
    </row>
    <row r="123" spans="1:15" x14ac:dyDescent="0.2">
      <c r="A123" s="21"/>
      <c r="B123" s="21">
        <v>114</v>
      </c>
      <c r="C123" s="14" t="s">
        <v>542</v>
      </c>
      <c r="D123" s="14" t="s">
        <v>881</v>
      </c>
      <c r="E123" s="14" t="s">
        <v>882</v>
      </c>
      <c r="F123" s="14">
        <v>8.5830000000000002</v>
      </c>
      <c r="G123" s="14">
        <v>937.16284199999996</v>
      </c>
      <c r="H123" s="14">
        <v>335.58724999999998</v>
      </c>
      <c r="I123" s="14">
        <v>8.5830000000000002</v>
      </c>
      <c r="J123" s="14">
        <v>0</v>
      </c>
      <c r="K123" s="14">
        <v>0</v>
      </c>
      <c r="L123" s="14">
        <v>0</v>
      </c>
      <c r="M123" s="14">
        <v>0</v>
      </c>
      <c r="N123" s="14">
        <v>8.5830000000000002</v>
      </c>
      <c r="O123" s="14">
        <v>100</v>
      </c>
    </row>
    <row r="124" spans="1:15" x14ac:dyDescent="0.2">
      <c r="A124" s="21"/>
      <c r="B124" s="21">
        <v>115</v>
      </c>
      <c r="C124" s="14" t="s">
        <v>543</v>
      </c>
      <c r="D124" s="14" t="s">
        <v>882</v>
      </c>
      <c r="E124" s="14" t="s">
        <v>883</v>
      </c>
      <c r="F124" s="14">
        <v>6</v>
      </c>
      <c r="G124" s="14">
        <v>1234.412476</v>
      </c>
      <c r="H124" s="14">
        <v>118.796753</v>
      </c>
      <c r="I124" s="14">
        <v>6</v>
      </c>
      <c r="J124" s="14">
        <v>0</v>
      </c>
      <c r="K124" s="14">
        <v>0</v>
      </c>
      <c r="L124" s="14">
        <v>0</v>
      </c>
      <c r="M124" s="14">
        <v>0</v>
      </c>
      <c r="N124" s="14">
        <v>6</v>
      </c>
      <c r="O124" s="14">
        <v>100</v>
      </c>
    </row>
    <row r="125" spans="1:15" x14ac:dyDescent="0.2">
      <c r="A125" s="21"/>
      <c r="B125" s="21">
        <v>116</v>
      </c>
      <c r="C125" s="14" t="s">
        <v>546</v>
      </c>
      <c r="D125" s="14" t="s">
        <v>883</v>
      </c>
      <c r="E125" s="14" t="s">
        <v>884</v>
      </c>
      <c r="F125" s="14">
        <v>15.75</v>
      </c>
      <c r="G125" s="14">
        <v>1251.1875</v>
      </c>
      <c r="H125" s="14">
        <v>152.69018600000001</v>
      </c>
      <c r="I125" s="14">
        <v>15.747999999999999</v>
      </c>
      <c r="J125" s="14">
        <v>2E-3</v>
      </c>
      <c r="K125" s="14">
        <v>0</v>
      </c>
      <c r="L125" s="14">
        <v>0</v>
      </c>
      <c r="M125" s="14">
        <v>0</v>
      </c>
      <c r="N125" s="14">
        <v>14.476000000000001</v>
      </c>
      <c r="O125" s="14">
        <v>91.908264000000003</v>
      </c>
    </row>
    <row r="126" spans="1:15" x14ac:dyDescent="0.2">
      <c r="A126" s="15"/>
      <c r="B126" s="21">
        <v>117</v>
      </c>
      <c r="C126" s="14" t="s">
        <v>547</v>
      </c>
      <c r="D126" s="14" t="s">
        <v>884</v>
      </c>
      <c r="E126" s="14" t="s">
        <v>885</v>
      </c>
      <c r="F126" s="14">
        <v>0.83299999999999996</v>
      </c>
      <c r="G126" s="14">
        <v>1303.3427730000001</v>
      </c>
      <c r="H126" s="14">
        <v>194.685776</v>
      </c>
      <c r="I126" s="14">
        <v>0.81200000000000006</v>
      </c>
      <c r="J126" s="14">
        <v>2.1000000000000001E-2</v>
      </c>
      <c r="K126" s="14">
        <v>0</v>
      </c>
      <c r="L126" s="14">
        <v>0</v>
      </c>
      <c r="M126" s="14">
        <v>0</v>
      </c>
      <c r="N126" s="14">
        <v>0.82399999999999995</v>
      </c>
      <c r="O126" s="14">
        <v>98.828064999999995</v>
      </c>
    </row>
    <row r="127" spans="1:15" x14ac:dyDescent="0.2">
      <c r="A127" s="477">
        <v>32</v>
      </c>
      <c r="B127" s="477">
        <v>118</v>
      </c>
      <c r="C127" s="14" t="s">
        <v>548</v>
      </c>
      <c r="D127" s="14" t="s">
        <v>886</v>
      </c>
      <c r="E127" s="14" t="s">
        <v>887</v>
      </c>
      <c r="F127" s="14">
        <v>8</v>
      </c>
      <c r="G127" s="14">
        <v>1385.6632079999999</v>
      </c>
      <c r="H127" s="14">
        <v>429.461365</v>
      </c>
      <c r="I127" s="14">
        <v>2.0910000000000002</v>
      </c>
      <c r="J127" s="14">
        <v>3.8809999999999998</v>
      </c>
      <c r="K127" s="14">
        <v>2.028</v>
      </c>
      <c r="L127" s="14">
        <v>0</v>
      </c>
      <c r="M127" s="14">
        <v>0</v>
      </c>
      <c r="N127" s="14">
        <v>6.0259999999999998</v>
      </c>
      <c r="O127" s="14">
        <v>75.330132000000006</v>
      </c>
    </row>
    <row r="128" spans="1:15" x14ac:dyDescent="0.2">
      <c r="A128" s="21"/>
      <c r="B128" s="21">
        <v>119</v>
      </c>
      <c r="C128" s="14" t="s">
        <v>549</v>
      </c>
      <c r="D128" s="14" t="s">
        <v>888</v>
      </c>
      <c r="E128" s="14" t="s">
        <v>889</v>
      </c>
      <c r="F128" s="14">
        <v>0.8</v>
      </c>
      <c r="G128" s="14">
        <v>1785.7463379999999</v>
      </c>
      <c r="H128" s="14">
        <v>366.27752700000002</v>
      </c>
      <c r="I128" s="14">
        <v>0.56499999999999995</v>
      </c>
      <c r="J128" s="14">
        <v>0.151</v>
      </c>
      <c r="K128" s="14">
        <v>0.02</v>
      </c>
      <c r="L128" s="14">
        <v>2.8000000000000001E-2</v>
      </c>
      <c r="M128" s="14">
        <v>3.5999999999999997E-2</v>
      </c>
      <c r="N128" s="14">
        <v>0.77700000000000002</v>
      </c>
      <c r="O128" s="14">
        <v>97.171842999999996</v>
      </c>
    </row>
    <row r="129" spans="1:15" x14ac:dyDescent="0.2">
      <c r="A129" s="21"/>
      <c r="B129" s="21">
        <v>120</v>
      </c>
      <c r="C129" s="14" t="s">
        <v>550</v>
      </c>
      <c r="D129" s="14" t="s">
        <v>890</v>
      </c>
      <c r="E129" s="14" t="s">
        <v>891</v>
      </c>
      <c r="F129" s="14">
        <v>1.9830000000000001</v>
      </c>
      <c r="G129" s="14">
        <v>1339.75415</v>
      </c>
      <c r="H129" s="14">
        <v>0.28910400000000003</v>
      </c>
      <c r="I129" s="14">
        <v>1.8540000000000001</v>
      </c>
      <c r="J129" s="14">
        <v>0.13</v>
      </c>
      <c r="K129" s="14">
        <v>0</v>
      </c>
      <c r="L129" s="14">
        <v>0</v>
      </c>
      <c r="M129" s="14">
        <v>0</v>
      </c>
      <c r="N129" s="14">
        <v>1.966</v>
      </c>
      <c r="O129" s="14">
        <v>99.131709000000001</v>
      </c>
    </row>
    <row r="130" spans="1:15" x14ac:dyDescent="0.2">
      <c r="A130" s="21"/>
      <c r="B130" s="21">
        <v>121</v>
      </c>
      <c r="C130" s="14" t="s">
        <v>551</v>
      </c>
      <c r="D130" s="14" t="s">
        <v>891</v>
      </c>
      <c r="E130" s="14" t="s">
        <v>892</v>
      </c>
      <c r="F130" s="14">
        <v>2.5</v>
      </c>
      <c r="G130" s="14">
        <v>1847.1523440000001</v>
      </c>
      <c r="H130" s="14">
        <v>0.42479800000000001</v>
      </c>
      <c r="I130" s="14">
        <v>0.88900000000000001</v>
      </c>
      <c r="J130" s="14">
        <v>0.77600000000000002</v>
      </c>
      <c r="K130" s="14">
        <v>0.54900000000000004</v>
      </c>
      <c r="L130" s="14">
        <v>5.1999999999999998E-2</v>
      </c>
      <c r="M130" s="14">
        <v>0.23499999999999999</v>
      </c>
      <c r="N130" s="14">
        <v>2.2010000000000001</v>
      </c>
      <c r="O130" s="14">
        <v>88.036620999999997</v>
      </c>
    </row>
    <row r="131" spans="1:15" x14ac:dyDescent="0.2">
      <c r="A131" s="21"/>
      <c r="B131" s="21">
        <v>122</v>
      </c>
      <c r="C131" s="14" t="s">
        <v>552</v>
      </c>
      <c r="D131" s="14" t="s">
        <v>892</v>
      </c>
      <c r="E131" s="14" t="s">
        <v>893</v>
      </c>
      <c r="F131" s="14">
        <v>2.3330000000000002</v>
      </c>
      <c r="G131" s="14">
        <v>1664.580933</v>
      </c>
      <c r="H131" s="14">
        <v>243.438187</v>
      </c>
      <c r="I131" s="14">
        <v>2.0609999999999999</v>
      </c>
      <c r="J131" s="14">
        <v>0.16600000000000001</v>
      </c>
      <c r="K131" s="14">
        <v>3.5999999999999997E-2</v>
      </c>
      <c r="L131" s="14">
        <v>5.5E-2</v>
      </c>
      <c r="M131" s="14">
        <v>1.6E-2</v>
      </c>
      <c r="N131" s="14">
        <v>2.2509999999999999</v>
      </c>
      <c r="O131" s="14">
        <v>96.455811999999995</v>
      </c>
    </row>
    <row r="132" spans="1:15" x14ac:dyDescent="0.2">
      <c r="A132" s="21"/>
      <c r="B132" s="21">
        <v>193</v>
      </c>
      <c r="C132" s="14" t="s">
        <v>693</v>
      </c>
      <c r="D132" s="14" t="s">
        <v>894</v>
      </c>
      <c r="E132" s="14" t="s">
        <v>895</v>
      </c>
      <c r="F132" s="14">
        <v>1.083</v>
      </c>
      <c r="G132" s="14">
        <v>1497.166138</v>
      </c>
      <c r="H132" s="14">
        <v>2.1101489999999998</v>
      </c>
      <c r="I132" s="14">
        <v>0.61199999999999999</v>
      </c>
      <c r="J132" s="14">
        <v>7.0000000000000001E-3</v>
      </c>
      <c r="K132" s="14">
        <v>0.01</v>
      </c>
      <c r="L132" s="14">
        <v>0.45400000000000001</v>
      </c>
      <c r="M132" s="14">
        <v>0</v>
      </c>
      <c r="N132" s="14">
        <v>1.0329999999999999</v>
      </c>
      <c r="O132" s="14">
        <v>95.313364000000007</v>
      </c>
    </row>
    <row r="133" spans="1:15" x14ac:dyDescent="0.2">
      <c r="A133" s="21"/>
      <c r="B133" s="21">
        <v>123</v>
      </c>
      <c r="C133" s="14" t="s">
        <v>553</v>
      </c>
      <c r="D133" s="14" t="s">
        <v>895</v>
      </c>
      <c r="E133" s="14" t="s">
        <v>896</v>
      </c>
      <c r="F133" s="14">
        <v>4</v>
      </c>
      <c r="G133" s="14">
        <v>1744.132568</v>
      </c>
      <c r="H133" s="14">
        <v>2.2137349999999998</v>
      </c>
      <c r="I133" s="14">
        <v>2.2949999999999999</v>
      </c>
      <c r="J133" s="14">
        <v>0.88700000000000001</v>
      </c>
      <c r="K133" s="14">
        <v>0.15</v>
      </c>
      <c r="L133" s="14">
        <v>0.251</v>
      </c>
      <c r="M133" s="14">
        <v>0.41599999999999998</v>
      </c>
      <c r="N133" s="14">
        <v>3.5609999999999999</v>
      </c>
      <c r="O133" s="14">
        <v>89.019971999999996</v>
      </c>
    </row>
    <row r="134" spans="1:15" x14ac:dyDescent="0.2">
      <c r="A134" s="21"/>
      <c r="B134" s="21">
        <v>124</v>
      </c>
      <c r="C134" s="14" t="s">
        <v>554</v>
      </c>
      <c r="D134" s="14" t="s">
        <v>896</v>
      </c>
      <c r="E134" s="14" t="s">
        <v>897</v>
      </c>
      <c r="F134" s="14">
        <v>6</v>
      </c>
      <c r="G134" s="14">
        <v>1350.8736570000001</v>
      </c>
      <c r="H134" s="14">
        <v>315.99420199999997</v>
      </c>
      <c r="I134" s="14">
        <v>5.6840000000000002</v>
      </c>
      <c r="J134" s="14">
        <v>0.28000000000000003</v>
      </c>
      <c r="K134" s="14">
        <v>3.6999999999999998E-2</v>
      </c>
      <c r="L134" s="14">
        <v>0</v>
      </c>
      <c r="M134" s="14">
        <v>0</v>
      </c>
      <c r="N134" s="14">
        <v>5.9390000000000001</v>
      </c>
      <c r="O134" s="14">
        <v>98.986125000000001</v>
      </c>
    </row>
    <row r="135" spans="1:15" x14ac:dyDescent="0.2">
      <c r="A135" s="21"/>
      <c r="B135" s="21">
        <v>125</v>
      </c>
      <c r="C135" s="14" t="s">
        <v>558</v>
      </c>
      <c r="D135" s="14" t="s">
        <v>897</v>
      </c>
      <c r="E135" s="14" t="s">
        <v>898</v>
      </c>
      <c r="F135" s="14">
        <v>3.6</v>
      </c>
      <c r="G135" s="14">
        <v>1361.979126</v>
      </c>
      <c r="H135" s="14">
        <v>323.05926499999998</v>
      </c>
      <c r="I135" s="14">
        <v>3.4849999999999999</v>
      </c>
      <c r="J135" s="14">
        <v>3.6999999999999998E-2</v>
      </c>
      <c r="K135" s="14">
        <v>7.8E-2</v>
      </c>
      <c r="L135" s="14">
        <v>0</v>
      </c>
      <c r="M135" s="14">
        <v>0</v>
      </c>
      <c r="N135" s="14">
        <v>3.5910000000000002</v>
      </c>
      <c r="O135" s="14">
        <v>99.743759999999995</v>
      </c>
    </row>
    <row r="136" spans="1:15" x14ac:dyDescent="0.2">
      <c r="A136" s="21"/>
      <c r="B136" s="21">
        <v>126</v>
      </c>
      <c r="C136" s="14" t="s">
        <v>559</v>
      </c>
      <c r="D136" s="14" t="s">
        <v>898</v>
      </c>
      <c r="E136" s="14" t="s">
        <v>899</v>
      </c>
      <c r="F136" s="14">
        <v>0.66700000000000004</v>
      </c>
      <c r="G136" s="14">
        <v>1250.7742920000001</v>
      </c>
      <c r="H136" s="14">
        <v>291.16790800000001</v>
      </c>
      <c r="I136" s="14">
        <v>0.66200000000000003</v>
      </c>
      <c r="J136" s="14">
        <v>5.0000000000000001E-3</v>
      </c>
      <c r="K136" s="14">
        <v>0</v>
      </c>
      <c r="L136" s="14">
        <v>0</v>
      </c>
      <c r="M136" s="14">
        <v>0</v>
      </c>
      <c r="N136" s="14">
        <v>0.66500000000000004</v>
      </c>
      <c r="O136" s="14">
        <v>99.755615000000006</v>
      </c>
    </row>
    <row r="137" spans="1:15" x14ac:dyDescent="0.2">
      <c r="A137" s="477">
        <v>33</v>
      </c>
      <c r="B137" s="477">
        <v>127</v>
      </c>
      <c r="C137" s="14" t="s">
        <v>560</v>
      </c>
      <c r="D137" s="14" t="s">
        <v>900</v>
      </c>
      <c r="E137" s="14" t="s">
        <v>901</v>
      </c>
      <c r="F137" s="14">
        <v>6.3</v>
      </c>
      <c r="G137" s="14">
        <v>1821.920044</v>
      </c>
      <c r="H137" s="14">
        <v>153.179855</v>
      </c>
      <c r="I137" s="14">
        <v>0.61799999999999999</v>
      </c>
      <c r="J137" s="14">
        <v>6.3E-2</v>
      </c>
      <c r="K137" s="14">
        <v>0.03</v>
      </c>
      <c r="L137" s="14">
        <v>0.93300000000000005</v>
      </c>
      <c r="M137" s="14">
        <v>4.6550000000000002</v>
      </c>
      <c r="N137" s="14">
        <v>4.8879999999999999</v>
      </c>
      <c r="O137" s="14">
        <v>77.585291999999995</v>
      </c>
    </row>
    <row r="138" spans="1:15" x14ac:dyDescent="0.2">
      <c r="A138" s="21"/>
      <c r="B138" s="21">
        <v>128</v>
      </c>
      <c r="C138" s="14" t="s">
        <v>561</v>
      </c>
      <c r="D138" s="14" t="s">
        <v>902</v>
      </c>
      <c r="E138" s="14" t="s">
        <v>903</v>
      </c>
      <c r="F138" s="14">
        <v>4.5999999999999996</v>
      </c>
      <c r="G138" s="14">
        <v>1390.6762699999999</v>
      </c>
      <c r="H138" s="14">
        <v>253.19648699999999</v>
      </c>
      <c r="I138" s="14">
        <v>0</v>
      </c>
      <c r="J138" s="14">
        <v>4.5780000000000003</v>
      </c>
      <c r="K138" s="14">
        <v>2.1999999999999999E-2</v>
      </c>
      <c r="L138" s="14">
        <v>0</v>
      </c>
      <c r="M138" s="14">
        <v>0</v>
      </c>
      <c r="N138" s="14">
        <v>0.20599999999999999</v>
      </c>
      <c r="O138" s="14">
        <v>4.4802609999999996</v>
      </c>
    </row>
    <row r="139" spans="1:15" x14ac:dyDescent="0.2">
      <c r="A139" s="21"/>
      <c r="B139" s="21">
        <v>129</v>
      </c>
      <c r="C139" s="14" t="s">
        <v>562</v>
      </c>
      <c r="D139" s="14" t="s">
        <v>903</v>
      </c>
      <c r="E139" s="14" t="s">
        <v>904</v>
      </c>
      <c r="F139" s="14">
        <v>1.5</v>
      </c>
      <c r="G139" s="14">
        <v>1356.9323730000001</v>
      </c>
      <c r="H139" s="14">
        <v>290.80578600000001</v>
      </c>
      <c r="I139" s="14">
        <v>0.35499999999999998</v>
      </c>
      <c r="J139" s="14">
        <v>1.1339999999999999</v>
      </c>
      <c r="K139" s="14">
        <v>1.2E-2</v>
      </c>
      <c r="L139" s="14">
        <v>0</v>
      </c>
      <c r="M139" s="14">
        <v>0</v>
      </c>
      <c r="N139" s="14">
        <v>1.456</v>
      </c>
      <c r="O139" s="14">
        <v>97.063260999999997</v>
      </c>
    </row>
    <row r="140" spans="1:15" x14ac:dyDescent="0.2">
      <c r="A140" s="21"/>
      <c r="B140" s="21">
        <v>130</v>
      </c>
      <c r="C140" s="14" t="s">
        <v>563</v>
      </c>
      <c r="D140" s="14" t="s">
        <v>904</v>
      </c>
      <c r="E140" s="14" t="s">
        <v>905</v>
      </c>
      <c r="F140" s="14">
        <v>7.9669999999999996</v>
      </c>
      <c r="G140" s="14">
        <v>1257.228149</v>
      </c>
      <c r="H140" s="14">
        <v>443.29092400000002</v>
      </c>
      <c r="I140" s="14">
        <v>7.1139999999999999</v>
      </c>
      <c r="J140" s="14">
        <v>0.85299999999999998</v>
      </c>
      <c r="K140" s="14">
        <v>0</v>
      </c>
      <c r="L140" s="14">
        <v>0</v>
      </c>
      <c r="M140" s="14">
        <v>0</v>
      </c>
      <c r="N140" s="14">
        <v>7.9669999999999996</v>
      </c>
      <c r="O140" s="14">
        <v>100</v>
      </c>
    </row>
    <row r="141" spans="1:15" x14ac:dyDescent="0.2">
      <c r="A141" s="477">
        <v>34</v>
      </c>
      <c r="B141" s="477">
        <v>131</v>
      </c>
      <c r="C141" s="14" t="s">
        <v>564</v>
      </c>
      <c r="D141" s="14" t="s">
        <v>906</v>
      </c>
      <c r="E141" s="14" t="s">
        <v>907</v>
      </c>
      <c r="F141" s="14">
        <v>7.1829999999999998</v>
      </c>
      <c r="G141" s="14">
        <v>1823.491943</v>
      </c>
      <c r="H141" s="14">
        <v>345.13623000000001</v>
      </c>
      <c r="I141" s="14">
        <v>0</v>
      </c>
      <c r="J141" s="14">
        <v>0.36299999999999999</v>
      </c>
      <c r="K141" s="14">
        <v>0.11700000000000001</v>
      </c>
      <c r="L141" s="14">
        <v>1.083</v>
      </c>
      <c r="M141" s="14">
        <v>5.62</v>
      </c>
      <c r="N141" s="14">
        <v>5.0030000000000001</v>
      </c>
      <c r="O141" s="14">
        <v>69.652051</v>
      </c>
    </row>
    <row r="142" spans="1:15" x14ac:dyDescent="0.2">
      <c r="A142" s="21"/>
      <c r="B142" s="21">
        <v>132</v>
      </c>
      <c r="C142" s="14" t="s">
        <v>565</v>
      </c>
      <c r="D142" s="14" t="s">
        <v>908</v>
      </c>
      <c r="E142" s="14" t="s">
        <v>909</v>
      </c>
      <c r="F142" s="14">
        <v>1.5</v>
      </c>
      <c r="G142" s="14">
        <v>1547.3858640000001</v>
      </c>
      <c r="H142" s="14">
        <v>322.30117799999999</v>
      </c>
      <c r="I142" s="14">
        <v>0.37</v>
      </c>
      <c r="J142" s="14">
        <v>5.5E-2</v>
      </c>
      <c r="K142" s="14">
        <v>1.022</v>
      </c>
      <c r="L142" s="14">
        <v>5.2999999999999999E-2</v>
      </c>
      <c r="M142" s="14">
        <v>0</v>
      </c>
      <c r="N142" s="14">
        <v>1.2490000000000001</v>
      </c>
      <c r="O142" s="14">
        <v>83.289676999999998</v>
      </c>
    </row>
    <row r="143" spans="1:15" x14ac:dyDescent="0.2">
      <c r="A143" s="21"/>
      <c r="B143" s="21">
        <v>133</v>
      </c>
      <c r="C143" s="14" t="s">
        <v>566</v>
      </c>
      <c r="D143" s="14" t="s">
        <v>909</v>
      </c>
      <c r="E143" s="14" t="s">
        <v>910</v>
      </c>
      <c r="F143" s="14">
        <v>17.367000000000001</v>
      </c>
      <c r="G143" s="14">
        <v>1120.4366460000001</v>
      </c>
      <c r="H143" s="14">
        <v>663.86828600000001</v>
      </c>
      <c r="I143" s="14">
        <v>17.367000000000001</v>
      </c>
      <c r="J143" s="14">
        <v>0</v>
      </c>
      <c r="K143" s="14">
        <v>0</v>
      </c>
      <c r="L143" s="14">
        <v>0</v>
      </c>
      <c r="M143" s="14">
        <v>0</v>
      </c>
      <c r="N143" s="14">
        <v>17.367000000000001</v>
      </c>
      <c r="O143" s="14">
        <v>100</v>
      </c>
    </row>
    <row r="144" spans="1:15" x14ac:dyDescent="0.2">
      <c r="A144" s="477">
        <v>35</v>
      </c>
      <c r="B144" s="477">
        <v>134</v>
      </c>
      <c r="C144" s="14" t="s">
        <v>567</v>
      </c>
      <c r="D144" s="14" t="s">
        <v>911</v>
      </c>
      <c r="E144" s="14" t="s">
        <v>912</v>
      </c>
      <c r="F144" s="14">
        <v>8</v>
      </c>
      <c r="G144" s="14">
        <v>1240.455811</v>
      </c>
      <c r="H144" s="14">
        <v>658.32122800000002</v>
      </c>
      <c r="I144" s="14">
        <v>8</v>
      </c>
      <c r="J144" s="14">
        <v>0</v>
      </c>
      <c r="K144" s="14">
        <v>0</v>
      </c>
      <c r="L144" s="14">
        <v>0</v>
      </c>
      <c r="M144" s="14">
        <v>0</v>
      </c>
      <c r="N144" s="14">
        <v>8</v>
      </c>
      <c r="O144" s="14">
        <v>100</v>
      </c>
    </row>
    <row r="145" spans="1:15" x14ac:dyDescent="0.2">
      <c r="A145" s="21"/>
      <c r="B145" s="21">
        <v>135</v>
      </c>
      <c r="C145" s="14" t="s">
        <v>568</v>
      </c>
      <c r="D145" s="14" t="s">
        <v>913</v>
      </c>
      <c r="E145" s="14" t="s">
        <v>914</v>
      </c>
      <c r="F145" s="14">
        <v>1.5</v>
      </c>
      <c r="G145" s="14">
        <v>1814.5545649999999</v>
      </c>
      <c r="H145" s="14">
        <v>7.797377</v>
      </c>
      <c r="I145" s="14">
        <v>0.33900000000000002</v>
      </c>
      <c r="J145" s="14">
        <v>2.1999999999999999E-2</v>
      </c>
      <c r="K145" s="14">
        <v>2.1999999999999999E-2</v>
      </c>
      <c r="L145" s="14">
        <v>1.034</v>
      </c>
      <c r="M145" s="14">
        <v>8.3000000000000004E-2</v>
      </c>
      <c r="N145" s="14">
        <v>1.41</v>
      </c>
      <c r="O145" s="14">
        <v>94.004434000000003</v>
      </c>
    </row>
    <row r="146" spans="1:15" x14ac:dyDescent="0.2">
      <c r="A146" s="21"/>
      <c r="B146" s="21">
        <v>136</v>
      </c>
      <c r="C146" s="14" t="s">
        <v>569</v>
      </c>
      <c r="D146" s="14" t="s">
        <v>915</v>
      </c>
      <c r="E146" s="14" t="s">
        <v>916</v>
      </c>
      <c r="F146" s="14">
        <v>8.8670000000000009</v>
      </c>
      <c r="G146" s="14">
        <v>1541.8156739999999</v>
      </c>
      <c r="H146" s="14">
        <v>438.94342</v>
      </c>
      <c r="I146" s="14">
        <v>2.7850000000000001</v>
      </c>
      <c r="J146" s="14">
        <v>6.032</v>
      </c>
      <c r="K146" s="14">
        <v>3.3000000000000002E-2</v>
      </c>
      <c r="L146" s="14">
        <v>1.7000000000000001E-2</v>
      </c>
      <c r="M146" s="14">
        <v>0</v>
      </c>
      <c r="N146" s="14">
        <v>8.8179999999999996</v>
      </c>
      <c r="O146" s="14">
        <v>99.453878000000003</v>
      </c>
    </row>
    <row r="147" spans="1:15" x14ac:dyDescent="0.2">
      <c r="A147" s="477">
        <v>36</v>
      </c>
      <c r="B147" s="477">
        <v>137</v>
      </c>
      <c r="C147" s="14" t="s">
        <v>570</v>
      </c>
      <c r="D147" s="14" t="s">
        <v>917</v>
      </c>
      <c r="E147" s="14" t="s">
        <v>918</v>
      </c>
      <c r="F147" s="14">
        <v>8</v>
      </c>
      <c r="G147" s="14">
        <v>1245.700439</v>
      </c>
      <c r="H147" s="14">
        <v>665.83648700000003</v>
      </c>
      <c r="I147" s="14">
        <v>8</v>
      </c>
      <c r="J147" s="14">
        <v>0</v>
      </c>
      <c r="K147" s="14">
        <v>0</v>
      </c>
      <c r="L147" s="14">
        <v>0</v>
      </c>
      <c r="M147" s="14">
        <v>0</v>
      </c>
      <c r="N147" s="14">
        <v>8</v>
      </c>
      <c r="O147" s="14">
        <v>100</v>
      </c>
    </row>
    <row r="148" spans="1:15" x14ac:dyDescent="0.2">
      <c r="A148" s="21"/>
      <c r="B148" s="21">
        <v>138</v>
      </c>
      <c r="C148" s="14" t="s">
        <v>571</v>
      </c>
      <c r="D148" s="14" t="s">
        <v>919</v>
      </c>
      <c r="E148" s="14" t="s">
        <v>920</v>
      </c>
      <c r="F148" s="14">
        <v>5.6829999999999998</v>
      </c>
      <c r="G148" s="14">
        <v>1384.1450199999999</v>
      </c>
      <c r="H148" s="14">
        <v>148.28909300000001</v>
      </c>
      <c r="I148" s="14">
        <v>6.6000000000000003E-2</v>
      </c>
      <c r="J148" s="14">
        <v>5.58</v>
      </c>
      <c r="K148" s="14">
        <v>3.5999999999999997E-2</v>
      </c>
      <c r="L148" s="14">
        <v>0</v>
      </c>
      <c r="M148" s="14">
        <v>0</v>
      </c>
      <c r="N148" s="14">
        <v>2.2919999999999998</v>
      </c>
      <c r="O148" s="14">
        <v>40.325454000000001</v>
      </c>
    </row>
    <row r="149" spans="1:15" x14ac:dyDescent="0.2">
      <c r="A149" s="21"/>
      <c r="B149" s="21">
        <v>139</v>
      </c>
      <c r="C149" s="14" t="s">
        <v>572</v>
      </c>
      <c r="D149" s="14" t="s">
        <v>920</v>
      </c>
      <c r="E149" s="14" t="s">
        <v>921</v>
      </c>
      <c r="F149" s="14">
        <v>6</v>
      </c>
      <c r="G149" s="14">
        <v>1363.4968260000001</v>
      </c>
      <c r="H149" s="14">
        <v>242.595764</v>
      </c>
      <c r="I149" s="14">
        <v>5.7000000000000002E-2</v>
      </c>
      <c r="J149" s="14">
        <v>5.9379999999999997</v>
      </c>
      <c r="K149" s="14">
        <v>5.0000000000000001E-3</v>
      </c>
      <c r="L149" s="14">
        <v>0</v>
      </c>
      <c r="M149" s="14">
        <v>0</v>
      </c>
      <c r="N149" s="14">
        <v>1.68</v>
      </c>
      <c r="O149" s="14">
        <v>27.998888000000001</v>
      </c>
    </row>
    <row r="150" spans="1:15" x14ac:dyDescent="0.2">
      <c r="A150" s="21"/>
      <c r="B150" s="21">
        <v>140</v>
      </c>
      <c r="C150" s="14" t="s">
        <v>573</v>
      </c>
      <c r="D150" s="14" t="s">
        <v>921</v>
      </c>
      <c r="E150" s="14" t="s">
        <v>922</v>
      </c>
      <c r="F150" s="14">
        <v>6</v>
      </c>
      <c r="G150" s="14">
        <v>1311.109741</v>
      </c>
      <c r="H150" s="14">
        <v>362.50167800000003</v>
      </c>
      <c r="I150" s="14">
        <v>0.95299999999999996</v>
      </c>
      <c r="J150" s="14">
        <v>5.0469999999999997</v>
      </c>
      <c r="K150" s="14">
        <v>0</v>
      </c>
      <c r="L150" s="14">
        <v>0</v>
      </c>
      <c r="M150" s="14">
        <v>0</v>
      </c>
      <c r="N150" s="14">
        <v>5.2089999999999996</v>
      </c>
      <c r="O150" s="14">
        <v>86.812376999999998</v>
      </c>
    </row>
    <row r="151" spans="1:15" x14ac:dyDescent="0.2">
      <c r="A151" s="21"/>
      <c r="B151" s="21">
        <v>141</v>
      </c>
      <c r="C151" s="14" t="s">
        <v>574</v>
      </c>
      <c r="D151" s="14" t="s">
        <v>922</v>
      </c>
      <c r="E151" s="14" t="s">
        <v>923</v>
      </c>
      <c r="F151" s="14">
        <v>11</v>
      </c>
      <c r="G151" s="14">
        <v>1327.1451420000001</v>
      </c>
      <c r="H151" s="14">
        <v>386.27886999999998</v>
      </c>
      <c r="I151" s="14">
        <v>10.388999999999999</v>
      </c>
      <c r="J151" s="14">
        <v>0.61099999999999999</v>
      </c>
      <c r="K151" s="14">
        <v>0</v>
      </c>
      <c r="L151" s="14">
        <v>0</v>
      </c>
      <c r="M151" s="14">
        <v>0</v>
      </c>
      <c r="N151" s="14">
        <v>10.943</v>
      </c>
      <c r="O151" s="14">
        <v>99.479842000000005</v>
      </c>
    </row>
    <row r="152" spans="1:15" x14ac:dyDescent="0.2">
      <c r="A152" s="477">
        <v>37</v>
      </c>
      <c r="B152" s="477">
        <v>142</v>
      </c>
      <c r="C152" s="14" t="s">
        <v>575</v>
      </c>
      <c r="D152" s="14" t="s">
        <v>924</v>
      </c>
      <c r="E152" s="14" t="s">
        <v>925</v>
      </c>
      <c r="F152" s="14">
        <v>5.133</v>
      </c>
      <c r="G152" s="14">
        <v>1816.6611330000001</v>
      </c>
      <c r="H152" s="14">
        <v>364.47988900000001</v>
      </c>
      <c r="I152" s="14">
        <v>0</v>
      </c>
      <c r="J152" s="14">
        <v>0</v>
      </c>
      <c r="K152" s="14">
        <v>3.375</v>
      </c>
      <c r="L152" s="14">
        <v>0.38700000000000001</v>
      </c>
      <c r="M152" s="14">
        <v>1.3720000000000001</v>
      </c>
      <c r="N152" s="14">
        <v>4.7130000000000001</v>
      </c>
      <c r="O152" s="14">
        <v>91.807145000000006</v>
      </c>
    </row>
    <row r="153" spans="1:15" x14ac:dyDescent="0.2">
      <c r="A153" s="21"/>
      <c r="B153" s="21">
        <v>143</v>
      </c>
      <c r="C153" s="14" t="s">
        <v>576</v>
      </c>
      <c r="D153" s="14" t="s">
        <v>926</v>
      </c>
      <c r="E153" s="14" t="s">
        <v>927</v>
      </c>
      <c r="F153" s="14">
        <v>3.9830000000000001</v>
      </c>
      <c r="G153" s="14">
        <v>1372.1561280000001</v>
      </c>
      <c r="H153" s="14">
        <v>122.025429</v>
      </c>
      <c r="I153" s="14">
        <v>0.625</v>
      </c>
      <c r="J153" s="14">
        <v>3.3410000000000002</v>
      </c>
      <c r="K153" s="14">
        <v>1.7000000000000001E-2</v>
      </c>
      <c r="L153" s="14">
        <v>0</v>
      </c>
      <c r="M153" s="14">
        <v>0</v>
      </c>
      <c r="N153" s="14">
        <v>3.3969999999999998</v>
      </c>
      <c r="O153" s="14">
        <v>85.269886</v>
      </c>
    </row>
    <row r="154" spans="1:15" x14ac:dyDescent="0.2">
      <c r="A154" s="21"/>
      <c r="B154" s="21">
        <v>144</v>
      </c>
      <c r="C154" s="14" t="s">
        <v>577</v>
      </c>
      <c r="D154" s="14" t="s">
        <v>927</v>
      </c>
      <c r="E154" s="14" t="s">
        <v>928</v>
      </c>
      <c r="F154" s="14">
        <v>6</v>
      </c>
      <c r="G154" s="14">
        <v>1654.659058</v>
      </c>
      <c r="H154" s="14">
        <v>0.77573800000000004</v>
      </c>
      <c r="I154" s="14">
        <v>1.6990000000000001</v>
      </c>
      <c r="J154" s="14">
        <v>1.2829999999999999</v>
      </c>
      <c r="K154" s="14">
        <v>1.022</v>
      </c>
      <c r="L154" s="14">
        <v>1.948</v>
      </c>
      <c r="M154" s="14">
        <v>4.7E-2</v>
      </c>
      <c r="N154" s="14">
        <v>4.54</v>
      </c>
      <c r="O154" s="14">
        <v>75.673866000000004</v>
      </c>
    </row>
    <row r="155" spans="1:15" x14ac:dyDescent="0.2">
      <c r="A155" s="21"/>
      <c r="B155" s="21">
        <v>145</v>
      </c>
      <c r="C155" s="14" t="s">
        <v>580</v>
      </c>
      <c r="D155" s="14" t="s">
        <v>928</v>
      </c>
      <c r="E155" s="14" t="s">
        <v>929</v>
      </c>
      <c r="F155" s="14">
        <v>2.5</v>
      </c>
      <c r="G155" s="14">
        <v>1665.9470209999999</v>
      </c>
      <c r="H155" s="14">
        <v>0.30966300000000002</v>
      </c>
      <c r="I155" s="14">
        <v>0.22</v>
      </c>
      <c r="J155" s="14">
        <v>0.182</v>
      </c>
      <c r="K155" s="14">
        <v>0.83799999999999997</v>
      </c>
      <c r="L155" s="14">
        <v>1.012</v>
      </c>
      <c r="M155" s="14">
        <v>0.248</v>
      </c>
      <c r="N155" s="14">
        <v>1.272</v>
      </c>
      <c r="O155" s="14">
        <v>50.891387000000002</v>
      </c>
    </row>
    <row r="156" spans="1:15" x14ac:dyDescent="0.2">
      <c r="A156" s="21"/>
      <c r="B156" s="21">
        <v>146</v>
      </c>
      <c r="C156" s="14" t="s">
        <v>582</v>
      </c>
      <c r="D156" s="14" t="s">
        <v>929</v>
      </c>
      <c r="E156" s="14" t="s">
        <v>930</v>
      </c>
      <c r="F156" s="14">
        <v>3.4670000000000001</v>
      </c>
      <c r="G156" s="14">
        <v>1618</v>
      </c>
      <c r="H156" s="14">
        <v>80.153862000000004</v>
      </c>
      <c r="I156" s="14">
        <v>1.2050000000000001</v>
      </c>
      <c r="J156" s="14">
        <v>1.3220000000000001</v>
      </c>
      <c r="K156" s="14">
        <v>0.54300000000000004</v>
      </c>
      <c r="L156" s="14">
        <v>0.23699999999999999</v>
      </c>
      <c r="M156" s="14">
        <v>0.159</v>
      </c>
      <c r="N156" s="14">
        <v>2.101</v>
      </c>
      <c r="O156" s="14">
        <v>60.611587999999998</v>
      </c>
    </row>
    <row r="157" spans="1:15" x14ac:dyDescent="0.2">
      <c r="A157" s="21"/>
      <c r="B157" s="21">
        <v>147</v>
      </c>
      <c r="C157" s="14" t="s">
        <v>583</v>
      </c>
      <c r="D157" s="14" t="s">
        <v>930</v>
      </c>
      <c r="E157" s="14" t="s">
        <v>931</v>
      </c>
      <c r="F157" s="14">
        <v>4</v>
      </c>
      <c r="G157" s="14">
        <v>1761.5866699999999</v>
      </c>
      <c r="H157" s="14">
        <v>2.8368709999999999</v>
      </c>
      <c r="I157" s="14">
        <v>3.4489999999999998</v>
      </c>
      <c r="J157" s="14">
        <v>0.16</v>
      </c>
      <c r="K157" s="14">
        <v>0.158</v>
      </c>
      <c r="L157" s="14">
        <v>6.3E-2</v>
      </c>
      <c r="M157" s="14">
        <v>0.17</v>
      </c>
      <c r="N157" s="14">
        <v>3.8090000000000002</v>
      </c>
      <c r="O157" s="14">
        <v>95.227861000000004</v>
      </c>
    </row>
    <row r="158" spans="1:15" x14ac:dyDescent="0.2">
      <c r="A158" s="21"/>
      <c r="B158" s="21">
        <v>148</v>
      </c>
      <c r="C158" s="14" t="s">
        <v>584</v>
      </c>
      <c r="D158" s="14" t="s">
        <v>931</v>
      </c>
      <c r="E158" s="14" t="s">
        <v>932</v>
      </c>
      <c r="F158" s="14">
        <v>2.4830000000000001</v>
      </c>
      <c r="G158" s="14">
        <v>1368.9372559999999</v>
      </c>
      <c r="H158" s="14">
        <v>279.33248900000001</v>
      </c>
      <c r="I158" s="14">
        <v>2.355</v>
      </c>
      <c r="J158" s="14">
        <v>0.123</v>
      </c>
      <c r="K158" s="14">
        <v>5.0000000000000001E-3</v>
      </c>
      <c r="L158" s="14">
        <v>0</v>
      </c>
      <c r="M158" s="14">
        <v>0</v>
      </c>
      <c r="N158" s="14">
        <v>2.4830000000000001</v>
      </c>
      <c r="O158" s="14">
        <v>100</v>
      </c>
    </row>
    <row r="159" spans="1:15" x14ac:dyDescent="0.2">
      <c r="A159" s="21"/>
      <c r="B159" s="21">
        <v>149</v>
      </c>
      <c r="C159" s="14" t="s">
        <v>585</v>
      </c>
      <c r="D159" s="14" t="s">
        <v>932</v>
      </c>
      <c r="E159" s="14" t="s">
        <v>933</v>
      </c>
      <c r="F159" s="14">
        <v>1.583</v>
      </c>
      <c r="G159" s="14">
        <v>1256.3680420000001</v>
      </c>
      <c r="H159" s="14">
        <v>590.76031499999999</v>
      </c>
      <c r="I159" s="14">
        <v>1.58</v>
      </c>
      <c r="J159" s="14">
        <v>3.0000000000000001E-3</v>
      </c>
      <c r="K159" s="14">
        <v>0</v>
      </c>
      <c r="L159" s="14">
        <v>0</v>
      </c>
      <c r="M159" s="14">
        <v>0</v>
      </c>
      <c r="N159" s="14">
        <v>1.583</v>
      </c>
      <c r="O159" s="14">
        <v>100</v>
      </c>
    </row>
    <row r="160" spans="1:15" x14ac:dyDescent="0.2">
      <c r="A160" s="21"/>
      <c r="B160" s="21">
        <v>150</v>
      </c>
      <c r="C160" s="14" t="s">
        <v>586</v>
      </c>
      <c r="D160" s="14" t="s">
        <v>933</v>
      </c>
      <c r="E160" s="14" t="s">
        <v>934</v>
      </c>
      <c r="F160" s="14">
        <v>2.4169999999999998</v>
      </c>
      <c r="G160" s="14">
        <v>1838.470703</v>
      </c>
      <c r="H160" s="14">
        <v>0.82069000000000003</v>
      </c>
      <c r="I160" s="14">
        <v>1.7789999999999999</v>
      </c>
      <c r="J160" s="14">
        <v>0.222</v>
      </c>
      <c r="K160" s="14">
        <v>4.8000000000000001E-2</v>
      </c>
      <c r="L160" s="14">
        <v>9.6000000000000002E-2</v>
      </c>
      <c r="M160" s="14">
        <v>0.27100000000000002</v>
      </c>
      <c r="N160" s="14">
        <v>2.339</v>
      </c>
      <c r="O160" s="14">
        <v>96.797382999999996</v>
      </c>
    </row>
    <row r="161" spans="1:15" x14ac:dyDescent="0.2">
      <c r="A161" s="21"/>
      <c r="B161" s="21">
        <v>151</v>
      </c>
      <c r="C161" s="14" t="s">
        <v>587</v>
      </c>
      <c r="D161" s="14" t="s">
        <v>935</v>
      </c>
      <c r="E161" s="14" t="s">
        <v>936</v>
      </c>
      <c r="F161" s="14">
        <v>1.583</v>
      </c>
      <c r="G161" s="14">
        <v>1672.952759</v>
      </c>
      <c r="H161" s="14">
        <v>300.89367700000003</v>
      </c>
      <c r="I161" s="14">
        <v>1.3720000000000001</v>
      </c>
      <c r="J161" s="14">
        <v>1.7000000000000001E-2</v>
      </c>
      <c r="K161" s="14">
        <v>1.4999999999999999E-2</v>
      </c>
      <c r="L161" s="14">
        <v>0.13100000000000001</v>
      </c>
      <c r="M161" s="14">
        <v>4.8000000000000001E-2</v>
      </c>
      <c r="N161" s="14">
        <v>1.5580000000000001</v>
      </c>
      <c r="O161" s="14">
        <v>98.429625999999999</v>
      </c>
    </row>
    <row r="162" spans="1:15" x14ac:dyDescent="0.2">
      <c r="A162" s="477">
        <v>38</v>
      </c>
      <c r="B162" s="477">
        <v>152</v>
      </c>
      <c r="C162" s="14" t="s">
        <v>588</v>
      </c>
      <c r="D162" s="14" t="s">
        <v>937</v>
      </c>
      <c r="E162" s="14" t="s">
        <v>938</v>
      </c>
      <c r="F162" s="14">
        <v>6.35</v>
      </c>
      <c r="G162" s="14">
        <v>1040.822754</v>
      </c>
      <c r="H162" s="14">
        <v>303.19982900000002</v>
      </c>
      <c r="I162" s="14">
        <v>6.35</v>
      </c>
      <c r="J162" s="14">
        <v>0</v>
      </c>
      <c r="K162" s="14">
        <v>0</v>
      </c>
      <c r="L162" s="14">
        <v>0</v>
      </c>
      <c r="M162" s="14">
        <v>0</v>
      </c>
      <c r="N162" s="14">
        <v>6.35</v>
      </c>
      <c r="O162" s="14">
        <v>100</v>
      </c>
    </row>
    <row r="163" spans="1:15" x14ac:dyDescent="0.2">
      <c r="A163" s="21"/>
      <c r="B163" s="21">
        <v>153</v>
      </c>
      <c r="C163" s="14" t="s">
        <v>589</v>
      </c>
      <c r="D163" s="14" t="s">
        <v>939</v>
      </c>
      <c r="E163" s="14" t="s">
        <v>940</v>
      </c>
      <c r="F163" s="14">
        <v>14.967000000000001</v>
      </c>
      <c r="G163" s="14">
        <v>920.17028800000003</v>
      </c>
      <c r="H163" s="14">
        <v>297.25100700000002</v>
      </c>
      <c r="I163" s="14">
        <v>14.967000000000001</v>
      </c>
      <c r="J163" s="14">
        <v>0</v>
      </c>
      <c r="K163" s="14">
        <v>0</v>
      </c>
      <c r="L163" s="14">
        <v>0</v>
      </c>
      <c r="M163" s="14">
        <v>0</v>
      </c>
      <c r="N163" s="14">
        <v>14.967000000000001</v>
      </c>
      <c r="O163" s="14">
        <v>100</v>
      </c>
    </row>
    <row r="164" spans="1:15" x14ac:dyDescent="0.2">
      <c r="A164" s="477">
        <v>39</v>
      </c>
      <c r="B164" s="477">
        <v>154</v>
      </c>
      <c r="C164" s="14" t="s">
        <v>590</v>
      </c>
      <c r="D164" s="14" t="s">
        <v>941</v>
      </c>
      <c r="E164" s="14" t="s">
        <v>942</v>
      </c>
      <c r="F164" s="14">
        <v>8</v>
      </c>
      <c r="G164" s="14">
        <v>1457.8360600000001</v>
      </c>
      <c r="H164" s="14">
        <v>310.59982300000001</v>
      </c>
      <c r="I164" s="14">
        <v>1.2</v>
      </c>
      <c r="J164" s="14">
        <v>2.2160000000000002</v>
      </c>
      <c r="K164" s="14">
        <v>3.9609999999999999</v>
      </c>
      <c r="L164" s="14">
        <v>0.623</v>
      </c>
      <c r="M164" s="14">
        <v>0</v>
      </c>
      <c r="N164" s="14">
        <v>4.7300000000000004</v>
      </c>
      <c r="O164" s="14">
        <v>59.119146999999998</v>
      </c>
    </row>
    <row r="165" spans="1:15" x14ac:dyDescent="0.2">
      <c r="A165" s="21"/>
      <c r="B165" s="21">
        <v>155</v>
      </c>
      <c r="C165" s="14" t="s">
        <v>591</v>
      </c>
      <c r="D165" s="14" t="s">
        <v>943</v>
      </c>
      <c r="E165" s="14" t="s">
        <v>944</v>
      </c>
      <c r="F165" s="14">
        <v>12.632999999999999</v>
      </c>
      <c r="G165" s="14">
        <v>1125.8051760000001</v>
      </c>
      <c r="H165" s="14">
        <v>183.209473</v>
      </c>
      <c r="I165" s="14">
        <v>12.632999999999999</v>
      </c>
      <c r="J165" s="14">
        <v>0</v>
      </c>
      <c r="K165" s="14">
        <v>0</v>
      </c>
      <c r="L165" s="14">
        <v>0</v>
      </c>
      <c r="M165" s="14">
        <v>0</v>
      </c>
      <c r="N165" s="14">
        <v>12.599</v>
      </c>
      <c r="O165" s="14">
        <v>99.731296</v>
      </c>
    </row>
    <row r="166" spans="1:15" x14ac:dyDescent="0.2">
      <c r="A166" s="477">
        <v>40</v>
      </c>
      <c r="B166" s="477">
        <v>156</v>
      </c>
      <c r="C166" s="14" t="s">
        <v>592</v>
      </c>
      <c r="D166" s="14" t="s">
        <v>945</v>
      </c>
      <c r="E166" s="14" t="s">
        <v>946</v>
      </c>
      <c r="F166" s="14">
        <v>8</v>
      </c>
      <c r="G166" s="14">
        <v>1461.76062</v>
      </c>
      <c r="H166" s="14">
        <v>448.00952100000001</v>
      </c>
      <c r="I166" s="14">
        <v>0.75</v>
      </c>
      <c r="J166" s="14">
        <v>2.31</v>
      </c>
      <c r="K166" s="14">
        <v>4.024</v>
      </c>
      <c r="L166" s="14">
        <v>0.91600000000000004</v>
      </c>
      <c r="M166" s="14">
        <v>0</v>
      </c>
      <c r="N166" s="14">
        <v>4.7530000000000001</v>
      </c>
      <c r="O166" s="14">
        <v>59.418249000000003</v>
      </c>
    </row>
    <row r="167" spans="1:15" x14ac:dyDescent="0.2">
      <c r="A167" s="477">
        <v>41</v>
      </c>
      <c r="B167" s="477">
        <v>157</v>
      </c>
      <c r="C167" s="14" t="s">
        <v>593</v>
      </c>
      <c r="D167" s="14" t="s">
        <v>947</v>
      </c>
      <c r="E167" s="14" t="s">
        <v>948</v>
      </c>
      <c r="F167" s="14">
        <v>8</v>
      </c>
      <c r="G167" s="14">
        <v>1007.46167</v>
      </c>
      <c r="H167" s="14">
        <v>596.800476</v>
      </c>
      <c r="I167" s="14">
        <v>8</v>
      </c>
      <c r="J167" s="14">
        <v>0</v>
      </c>
      <c r="K167" s="14">
        <v>0</v>
      </c>
      <c r="L167" s="14">
        <v>0</v>
      </c>
      <c r="M167" s="14">
        <v>0</v>
      </c>
      <c r="N167" s="14">
        <v>8</v>
      </c>
      <c r="O167" s="14">
        <v>100</v>
      </c>
    </row>
    <row r="168" spans="1:15" x14ac:dyDescent="0.2">
      <c r="A168" s="21"/>
      <c r="B168" s="21">
        <v>158</v>
      </c>
      <c r="C168" s="14" t="s">
        <v>594</v>
      </c>
      <c r="D168" s="14" t="s">
        <v>949</v>
      </c>
      <c r="E168" s="14" t="s">
        <v>950</v>
      </c>
      <c r="F168" s="14">
        <v>10.532999999999999</v>
      </c>
      <c r="G168" s="14">
        <v>1216.3122559999999</v>
      </c>
      <c r="H168" s="14">
        <v>134.18112199999999</v>
      </c>
      <c r="I168" s="14">
        <v>10.532999999999999</v>
      </c>
      <c r="J168" s="14">
        <v>0</v>
      </c>
      <c r="K168" s="14">
        <v>0</v>
      </c>
      <c r="L168" s="14">
        <v>0</v>
      </c>
      <c r="M168" s="14">
        <v>0</v>
      </c>
      <c r="N168" s="14">
        <v>10.532999999999999</v>
      </c>
      <c r="O168" s="14">
        <v>100</v>
      </c>
    </row>
    <row r="169" spans="1:15" x14ac:dyDescent="0.2">
      <c r="A169" s="477">
        <v>42</v>
      </c>
      <c r="B169" s="477">
        <v>159</v>
      </c>
      <c r="C169" s="14" t="s">
        <v>595</v>
      </c>
      <c r="D169" s="14" t="s">
        <v>951</v>
      </c>
      <c r="E169" s="14" t="s">
        <v>952</v>
      </c>
      <c r="F169" s="14">
        <v>8</v>
      </c>
      <c r="G169" s="14">
        <v>1015.060974</v>
      </c>
      <c r="H169" s="14">
        <v>595.63116500000001</v>
      </c>
      <c r="I169" s="14">
        <v>8</v>
      </c>
      <c r="J169" s="14">
        <v>0</v>
      </c>
      <c r="K169" s="14">
        <v>0</v>
      </c>
      <c r="L169" s="14">
        <v>0</v>
      </c>
      <c r="M169" s="14">
        <v>0</v>
      </c>
      <c r="N169" s="14">
        <v>8</v>
      </c>
      <c r="O169" s="14">
        <v>100</v>
      </c>
    </row>
    <row r="170" spans="1:15" x14ac:dyDescent="0.2">
      <c r="A170" s="21"/>
      <c r="B170" s="21">
        <v>160</v>
      </c>
      <c r="C170" s="14" t="s">
        <v>596</v>
      </c>
      <c r="D170" s="14" t="s">
        <v>953</v>
      </c>
      <c r="E170" s="14" t="s">
        <v>954</v>
      </c>
      <c r="F170" s="14">
        <v>8.6669999999999998</v>
      </c>
      <c r="G170" s="14">
        <v>1287.197144</v>
      </c>
      <c r="H170" s="14">
        <v>345.64950599999997</v>
      </c>
      <c r="I170" s="14">
        <v>8.6530000000000005</v>
      </c>
      <c r="J170" s="14">
        <v>1.2999999999999999E-2</v>
      </c>
      <c r="K170" s="14">
        <v>0</v>
      </c>
      <c r="L170" s="14">
        <v>0</v>
      </c>
      <c r="M170" s="14">
        <v>0</v>
      </c>
      <c r="N170" s="14">
        <v>8.6669999999999998</v>
      </c>
      <c r="O170" s="14">
        <v>100</v>
      </c>
    </row>
    <row r="171" spans="1:15" x14ac:dyDescent="0.2">
      <c r="A171" s="477">
        <v>43</v>
      </c>
      <c r="B171" s="477">
        <v>161</v>
      </c>
      <c r="C171" s="14" t="s">
        <v>597</v>
      </c>
      <c r="D171" s="14" t="s">
        <v>955</v>
      </c>
      <c r="E171" s="14" t="s">
        <v>956</v>
      </c>
      <c r="F171" s="14">
        <v>11.75</v>
      </c>
      <c r="G171" s="14">
        <v>1274.667725</v>
      </c>
      <c r="H171" s="14">
        <v>735.23846400000002</v>
      </c>
      <c r="I171" s="14">
        <v>8.7479999999999993</v>
      </c>
      <c r="J171" s="14">
        <v>3.0019999999999998</v>
      </c>
      <c r="K171" s="14">
        <v>0</v>
      </c>
      <c r="L171" s="14">
        <v>0</v>
      </c>
      <c r="M171" s="14">
        <v>0</v>
      </c>
      <c r="N171" s="14">
        <v>11.75</v>
      </c>
      <c r="O171" s="14">
        <v>100</v>
      </c>
    </row>
    <row r="172" spans="1:15" x14ac:dyDescent="0.2">
      <c r="A172" s="21"/>
      <c r="B172" s="21">
        <v>162</v>
      </c>
      <c r="C172" s="14" t="s">
        <v>598</v>
      </c>
      <c r="D172" s="14" t="s">
        <v>957</v>
      </c>
      <c r="E172" s="14" t="s">
        <v>958</v>
      </c>
      <c r="F172" s="14">
        <v>10.167</v>
      </c>
      <c r="G172" s="14">
        <v>1580.791504</v>
      </c>
      <c r="H172" s="14">
        <v>2.5008919999999999</v>
      </c>
      <c r="I172" s="14">
        <v>9.8309999999999995</v>
      </c>
      <c r="J172" s="14">
        <v>0.221</v>
      </c>
      <c r="K172" s="14">
        <v>4.8000000000000001E-2</v>
      </c>
      <c r="L172" s="14">
        <v>6.7000000000000004E-2</v>
      </c>
      <c r="M172" s="14">
        <v>0</v>
      </c>
      <c r="N172" s="14">
        <v>10.052</v>
      </c>
      <c r="O172" s="14">
        <v>98.870092999999997</v>
      </c>
    </row>
    <row r="173" spans="1:15" x14ac:dyDescent="0.2">
      <c r="A173" s="21"/>
      <c r="B173" s="21">
        <v>163</v>
      </c>
      <c r="C173" s="14" t="s">
        <v>599</v>
      </c>
      <c r="D173" s="14" t="s">
        <v>959</v>
      </c>
      <c r="E173" s="14" t="s">
        <v>960</v>
      </c>
      <c r="F173" s="14">
        <v>7.867</v>
      </c>
      <c r="G173" s="14">
        <v>1560.8480219999999</v>
      </c>
      <c r="H173" s="14">
        <v>0.45396500000000001</v>
      </c>
      <c r="I173" s="14">
        <v>6.6710000000000003</v>
      </c>
      <c r="J173" s="14">
        <v>0.86699999999999999</v>
      </c>
      <c r="K173" s="14">
        <v>0.11700000000000001</v>
      </c>
      <c r="L173" s="14">
        <v>0.21099999999999999</v>
      </c>
      <c r="M173" s="14">
        <v>0</v>
      </c>
      <c r="N173" s="14">
        <v>7.5970000000000004</v>
      </c>
      <c r="O173" s="14">
        <v>96.569734999999994</v>
      </c>
    </row>
    <row r="174" spans="1:15" x14ac:dyDescent="0.2">
      <c r="A174" s="477">
        <v>44</v>
      </c>
      <c r="B174" s="477">
        <v>164</v>
      </c>
      <c r="C174" s="14" t="s">
        <v>600</v>
      </c>
      <c r="D174" s="14" t="s">
        <v>961</v>
      </c>
      <c r="E174" s="14" t="s">
        <v>962</v>
      </c>
      <c r="F174" s="14">
        <v>8.25</v>
      </c>
      <c r="G174" s="14">
        <v>1625.2607419999999</v>
      </c>
      <c r="H174" s="14">
        <v>472.41006499999997</v>
      </c>
      <c r="I174" s="14">
        <v>0.64200000000000002</v>
      </c>
      <c r="J174" s="14">
        <v>3.7999999999999999E-2</v>
      </c>
      <c r="K174" s="14">
        <v>1.038</v>
      </c>
      <c r="L174" s="14">
        <v>5.0389999999999997</v>
      </c>
      <c r="M174" s="14">
        <v>1.4930000000000001</v>
      </c>
      <c r="N174" s="14">
        <v>4.3879999999999999</v>
      </c>
      <c r="O174" s="14">
        <v>53.192084999999999</v>
      </c>
    </row>
    <row r="175" spans="1:15" x14ac:dyDescent="0.2">
      <c r="A175" s="477">
        <v>45</v>
      </c>
      <c r="B175" s="477">
        <v>165</v>
      </c>
      <c r="C175" s="14" t="s">
        <v>601</v>
      </c>
      <c r="D175" s="14" t="s">
        <v>963</v>
      </c>
      <c r="E175" s="14" t="s">
        <v>964</v>
      </c>
      <c r="F175" s="14">
        <v>7.5</v>
      </c>
      <c r="G175" s="14">
        <v>1624.715942</v>
      </c>
      <c r="H175" s="14">
        <v>463.17373700000002</v>
      </c>
      <c r="I175" s="14">
        <v>0.71199999999999997</v>
      </c>
      <c r="J175" s="14">
        <v>3.6999999999999998E-2</v>
      </c>
      <c r="K175" s="14">
        <v>0.96</v>
      </c>
      <c r="L175" s="14">
        <v>4.4989999999999997</v>
      </c>
      <c r="M175" s="14">
        <v>1.2929999999999999</v>
      </c>
      <c r="N175" s="14">
        <v>4.1289999999999996</v>
      </c>
      <c r="O175" s="14">
        <v>55.049765000000001</v>
      </c>
    </row>
    <row r="176" spans="1:15" x14ac:dyDescent="0.2">
      <c r="A176" s="477">
        <v>46</v>
      </c>
      <c r="B176" s="477">
        <v>166</v>
      </c>
      <c r="C176" s="14" t="s">
        <v>602</v>
      </c>
      <c r="D176" s="14" t="s">
        <v>965</v>
      </c>
      <c r="E176" s="14" t="s">
        <v>966</v>
      </c>
      <c r="F176" s="14">
        <v>8</v>
      </c>
      <c r="G176" s="14">
        <v>1626.073975</v>
      </c>
      <c r="H176" s="14">
        <v>506.35424799999998</v>
      </c>
      <c r="I176" s="14">
        <v>0.63700000000000001</v>
      </c>
      <c r="J176" s="14">
        <v>4.2999999999999997E-2</v>
      </c>
      <c r="K176" s="14">
        <v>1.0349999999999999</v>
      </c>
      <c r="L176" s="14">
        <v>4.7759999999999998</v>
      </c>
      <c r="M176" s="14">
        <v>1.51</v>
      </c>
      <c r="N176" s="14">
        <v>4.32</v>
      </c>
      <c r="O176" s="14">
        <v>54.000836999999997</v>
      </c>
    </row>
    <row r="177" spans="1:15" x14ac:dyDescent="0.2">
      <c r="A177" s="477">
        <v>47</v>
      </c>
      <c r="B177" s="477">
        <v>167</v>
      </c>
      <c r="C177" s="14" t="s">
        <v>603</v>
      </c>
      <c r="D177" s="14" t="s">
        <v>967</v>
      </c>
      <c r="E177" s="14" t="s">
        <v>968</v>
      </c>
      <c r="F177" s="14">
        <v>8</v>
      </c>
      <c r="G177" s="14">
        <v>1624.246582</v>
      </c>
      <c r="H177" s="14">
        <v>500.23556500000001</v>
      </c>
      <c r="I177" s="14">
        <v>0.63800000000000001</v>
      </c>
      <c r="J177" s="14">
        <v>4.2999999999999997E-2</v>
      </c>
      <c r="K177" s="14">
        <v>1.0980000000000001</v>
      </c>
      <c r="L177" s="14">
        <v>4.7859999999999996</v>
      </c>
      <c r="M177" s="14">
        <v>1.4350000000000001</v>
      </c>
      <c r="N177" s="14">
        <v>4.4240000000000004</v>
      </c>
      <c r="O177" s="14">
        <v>55.299728999999999</v>
      </c>
    </row>
    <row r="178" spans="1:15" x14ac:dyDescent="0.2">
      <c r="A178" s="477">
        <v>48</v>
      </c>
      <c r="B178" s="477">
        <v>168</v>
      </c>
      <c r="C178" s="14" t="s">
        <v>604</v>
      </c>
      <c r="D178" s="14" t="s">
        <v>969</v>
      </c>
      <c r="E178" s="14" t="s">
        <v>970</v>
      </c>
      <c r="F178" s="14">
        <v>8</v>
      </c>
      <c r="G178" s="14">
        <v>1621.4970699999999</v>
      </c>
      <c r="H178" s="14">
        <v>490.74926799999997</v>
      </c>
      <c r="I178" s="14">
        <v>1.075</v>
      </c>
      <c r="J178" s="14">
        <v>0.16300000000000001</v>
      </c>
      <c r="K178" s="14">
        <v>1.18</v>
      </c>
      <c r="L178" s="14">
        <v>4.3570000000000002</v>
      </c>
      <c r="M178" s="14">
        <v>1.2250000000000001</v>
      </c>
      <c r="N178" s="14">
        <v>4.859</v>
      </c>
      <c r="O178" s="14">
        <v>60.741925000000002</v>
      </c>
    </row>
    <row r="179" spans="1:15" x14ac:dyDescent="0.2">
      <c r="A179" s="21"/>
      <c r="B179" s="21">
        <v>169</v>
      </c>
      <c r="C179" s="14" t="s">
        <v>605</v>
      </c>
      <c r="D179" s="14" t="s">
        <v>970</v>
      </c>
      <c r="E179" s="14" t="s">
        <v>971</v>
      </c>
      <c r="F179" s="14">
        <v>1.5</v>
      </c>
      <c r="G179" s="14">
        <v>1406.3348390000001</v>
      </c>
      <c r="H179" s="14">
        <v>4.0579049999999999</v>
      </c>
      <c r="I179" s="14">
        <v>3.6999999999999998E-2</v>
      </c>
      <c r="J179" s="14">
        <v>3.2000000000000001E-2</v>
      </c>
      <c r="K179" s="14">
        <v>1.4319999999999999</v>
      </c>
      <c r="L179" s="14">
        <v>0</v>
      </c>
      <c r="M179" s="14">
        <v>0</v>
      </c>
      <c r="N179" s="14">
        <v>1.4490000000000001</v>
      </c>
      <c r="O179" s="14">
        <v>96.631926000000007</v>
      </c>
    </row>
    <row r="180" spans="1:15" x14ac:dyDescent="0.2">
      <c r="A180" s="477">
        <v>49</v>
      </c>
      <c r="B180" s="477">
        <v>170</v>
      </c>
      <c r="C180" s="14" t="s">
        <v>606</v>
      </c>
      <c r="D180" s="14" t="s">
        <v>972</v>
      </c>
      <c r="E180" s="14" t="s">
        <v>973</v>
      </c>
      <c r="F180" s="14">
        <v>11.233000000000001</v>
      </c>
      <c r="G180" s="14">
        <v>1412.7242429999999</v>
      </c>
      <c r="H180" s="14">
        <v>836.02581799999996</v>
      </c>
      <c r="I180" s="14">
        <v>2.3439999999999999</v>
      </c>
      <c r="J180" s="14">
        <v>0.59799999999999998</v>
      </c>
      <c r="K180" s="14">
        <v>8.2910000000000004</v>
      </c>
      <c r="L180" s="14">
        <v>0</v>
      </c>
      <c r="M180" s="14">
        <v>0</v>
      </c>
      <c r="N180" s="14">
        <v>5.7560000000000002</v>
      </c>
      <c r="O180" s="14">
        <v>51.236277999999999</v>
      </c>
    </row>
    <row r="181" spans="1:15" x14ac:dyDescent="0.2">
      <c r="A181" s="21"/>
      <c r="B181" s="21">
        <v>171</v>
      </c>
      <c r="C181" s="14" t="s">
        <v>607</v>
      </c>
      <c r="D181" s="14" t="s">
        <v>973</v>
      </c>
      <c r="E181" s="14" t="s">
        <v>974</v>
      </c>
      <c r="F181" s="14">
        <v>2.6669999999999998</v>
      </c>
      <c r="G181" s="14">
        <v>1477.7248540000001</v>
      </c>
      <c r="H181" s="14">
        <v>831.44812000000002</v>
      </c>
      <c r="I181" s="14">
        <v>2.6269999999999998</v>
      </c>
      <c r="J181" s="14">
        <v>1.7000000000000001E-2</v>
      </c>
      <c r="K181" s="14">
        <v>1.7000000000000001E-2</v>
      </c>
      <c r="L181" s="14">
        <v>7.0000000000000001E-3</v>
      </c>
      <c r="M181" s="14">
        <v>0</v>
      </c>
      <c r="N181" s="14">
        <v>2.6360000000000001</v>
      </c>
      <c r="O181" s="14">
        <v>98.832916999999995</v>
      </c>
    </row>
    <row r="182" spans="1:15" x14ac:dyDescent="0.2">
      <c r="A182" s="21"/>
      <c r="B182" s="21">
        <v>172</v>
      </c>
      <c r="C182" s="14" t="s">
        <v>608</v>
      </c>
      <c r="D182" s="14" t="s">
        <v>974</v>
      </c>
      <c r="E182" s="14" t="s">
        <v>975</v>
      </c>
      <c r="F182" s="14">
        <v>1.45</v>
      </c>
      <c r="G182" s="14">
        <v>1534.5791019999999</v>
      </c>
      <c r="H182" s="14">
        <v>2.1197539999999999</v>
      </c>
      <c r="I182" s="14">
        <v>9.5000000000000001E-2</v>
      </c>
      <c r="J182" s="14">
        <v>2.1999999999999999E-2</v>
      </c>
      <c r="K182" s="14">
        <v>0.1</v>
      </c>
      <c r="L182" s="14">
        <v>1.234</v>
      </c>
      <c r="M182" s="14">
        <v>0</v>
      </c>
      <c r="N182" s="14">
        <v>1.3440000000000001</v>
      </c>
      <c r="O182" s="14">
        <v>92.668188000000001</v>
      </c>
    </row>
    <row r="183" spans="1:15" x14ac:dyDescent="0.2">
      <c r="A183" s="21"/>
      <c r="B183" s="21">
        <v>173</v>
      </c>
      <c r="C183" s="14" t="s">
        <v>609</v>
      </c>
      <c r="D183" s="14" t="s">
        <v>975</v>
      </c>
      <c r="E183" s="14" t="s">
        <v>976</v>
      </c>
      <c r="F183" s="14">
        <v>11</v>
      </c>
      <c r="G183" s="14">
        <v>1828.5008539999999</v>
      </c>
      <c r="H183" s="14">
        <v>0.249886</v>
      </c>
      <c r="I183" s="14">
        <v>2.891</v>
      </c>
      <c r="J183" s="14">
        <v>1.954</v>
      </c>
      <c r="K183" s="14">
        <v>4.194</v>
      </c>
      <c r="L183" s="14">
        <v>1.8169999999999999</v>
      </c>
      <c r="M183" s="14">
        <v>0.14499999999999999</v>
      </c>
      <c r="N183" s="14">
        <v>8.6560000000000006</v>
      </c>
      <c r="O183" s="14">
        <v>78.689252999999994</v>
      </c>
    </row>
    <row r="184" spans="1:15" x14ac:dyDescent="0.2">
      <c r="A184" s="21"/>
      <c r="B184" s="21">
        <v>174</v>
      </c>
      <c r="C184" s="14" t="s">
        <v>610</v>
      </c>
      <c r="D184" s="14" t="s">
        <v>976</v>
      </c>
      <c r="E184" s="14" t="s">
        <v>977</v>
      </c>
      <c r="F184" s="14">
        <v>0.61699999999999999</v>
      </c>
      <c r="G184" s="14">
        <v>1837.0170900000001</v>
      </c>
      <c r="H184" s="14">
        <v>2.0579749999999999</v>
      </c>
      <c r="I184" s="14">
        <v>7.0000000000000001E-3</v>
      </c>
      <c r="J184" s="14">
        <v>1.4999999999999999E-2</v>
      </c>
      <c r="K184" s="14">
        <v>0.42099999999999999</v>
      </c>
      <c r="L184" s="14">
        <v>3.5000000000000003E-2</v>
      </c>
      <c r="M184" s="14">
        <v>0.13900000000000001</v>
      </c>
      <c r="N184" s="14">
        <v>0.30399999999999999</v>
      </c>
      <c r="O184" s="14">
        <v>49.293008</v>
      </c>
    </row>
    <row r="185" spans="1:15" x14ac:dyDescent="0.2">
      <c r="A185" s="21"/>
      <c r="B185" s="21">
        <v>175</v>
      </c>
      <c r="C185" s="14" t="s">
        <v>611</v>
      </c>
      <c r="D185" s="14" t="s">
        <v>977</v>
      </c>
      <c r="E185" s="14" t="s">
        <v>978</v>
      </c>
      <c r="F185" s="14">
        <v>1.833</v>
      </c>
      <c r="G185" s="14">
        <v>1419.572754</v>
      </c>
      <c r="H185" s="14">
        <v>4.1840020000000004</v>
      </c>
      <c r="I185" s="14">
        <v>1.764</v>
      </c>
      <c r="J185" s="14">
        <v>1.7999999999999999E-2</v>
      </c>
      <c r="K185" s="14">
        <v>5.0999999999999997E-2</v>
      </c>
      <c r="L185" s="14">
        <v>0</v>
      </c>
      <c r="M185" s="14">
        <v>0</v>
      </c>
      <c r="N185" s="14">
        <v>1.821</v>
      </c>
      <c r="O185" s="14">
        <v>99.333333999999994</v>
      </c>
    </row>
    <row r="186" spans="1:15" x14ac:dyDescent="0.2">
      <c r="A186" s="21"/>
      <c r="B186" s="21">
        <v>176</v>
      </c>
      <c r="C186" s="14" t="s">
        <v>612</v>
      </c>
      <c r="D186" s="14" t="s">
        <v>978</v>
      </c>
      <c r="E186" s="14" t="s">
        <v>979</v>
      </c>
      <c r="F186" s="14">
        <v>2.133</v>
      </c>
      <c r="G186" s="14">
        <v>1506.4938959999999</v>
      </c>
      <c r="H186" s="14">
        <v>235.86842300000001</v>
      </c>
      <c r="I186" s="14">
        <v>0</v>
      </c>
      <c r="J186" s="14">
        <v>7.0000000000000001E-3</v>
      </c>
      <c r="K186" s="14">
        <v>0.39600000000000002</v>
      </c>
      <c r="L186" s="14">
        <v>1.73</v>
      </c>
      <c r="M186" s="14">
        <v>0</v>
      </c>
      <c r="N186" s="14">
        <v>2.024</v>
      </c>
      <c r="O186" s="14">
        <v>94.855367999999999</v>
      </c>
    </row>
    <row r="187" spans="1:15" x14ac:dyDescent="0.2">
      <c r="A187" s="21"/>
      <c r="B187" s="21">
        <v>177</v>
      </c>
      <c r="C187" s="14" t="s">
        <v>613</v>
      </c>
      <c r="D187" s="14" t="s">
        <v>979</v>
      </c>
      <c r="E187" s="14" t="s">
        <v>980</v>
      </c>
      <c r="F187" s="14">
        <v>8.6669999999999998</v>
      </c>
      <c r="G187" s="14">
        <v>1538.8481449999999</v>
      </c>
      <c r="H187" s="14">
        <v>94.150024000000002</v>
      </c>
      <c r="I187" s="14">
        <v>4.3490000000000002</v>
      </c>
      <c r="J187" s="14">
        <v>1.17</v>
      </c>
      <c r="K187" s="14">
        <v>1.343</v>
      </c>
      <c r="L187" s="14">
        <v>1.804</v>
      </c>
      <c r="M187" s="14">
        <v>0</v>
      </c>
      <c r="N187" s="14">
        <v>7.9080000000000004</v>
      </c>
      <c r="O187" s="14">
        <v>91.243093999999999</v>
      </c>
    </row>
    <row r="188" spans="1:15" x14ac:dyDescent="0.2">
      <c r="A188" s="477">
        <v>50</v>
      </c>
      <c r="B188" s="477">
        <v>178</v>
      </c>
      <c r="C188" s="14" t="s">
        <v>616</v>
      </c>
      <c r="D188" s="14" t="s">
        <v>981</v>
      </c>
      <c r="E188" s="14" t="s">
        <v>982</v>
      </c>
      <c r="F188" s="14">
        <v>2</v>
      </c>
      <c r="G188" s="14">
        <v>1404.6829829999999</v>
      </c>
      <c r="H188" s="14">
        <v>848.24658199999999</v>
      </c>
      <c r="I188" s="14">
        <v>0.42</v>
      </c>
      <c r="J188" s="14">
        <v>0.19700000000000001</v>
      </c>
      <c r="K188" s="14">
        <v>1.3839999999999999</v>
      </c>
      <c r="L188" s="14">
        <v>0</v>
      </c>
      <c r="M188" s="14">
        <v>0</v>
      </c>
      <c r="N188" s="14">
        <v>1.0509999999999999</v>
      </c>
      <c r="O188" s="14">
        <v>52.534556000000002</v>
      </c>
    </row>
    <row r="189" spans="1:15" x14ac:dyDescent="0.2">
      <c r="A189" s="21"/>
      <c r="B189" s="21">
        <v>179</v>
      </c>
      <c r="C189" s="14" t="s">
        <v>617</v>
      </c>
      <c r="D189" s="14" t="s">
        <v>982</v>
      </c>
      <c r="E189" s="14" t="s">
        <v>983</v>
      </c>
      <c r="F189" s="14">
        <v>5</v>
      </c>
      <c r="G189" s="14">
        <v>1799.455688</v>
      </c>
      <c r="H189" s="14">
        <v>155.10891699999999</v>
      </c>
      <c r="I189" s="14">
        <v>0.67400000000000004</v>
      </c>
      <c r="J189" s="14">
        <v>1.1120000000000001</v>
      </c>
      <c r="K189" s="14">
        <v>1.482</v>
      </c>
      <c r="L189" s="14">
        <v>1.647</v>
      </c>
      <c r="M189" s="14">
        <v>8.5000000000000006E-2</v>
      </c>
      <c r="N189" s="14">
        <v>4.4050000000000002</v>
      </c>
      <c r="O189" s="14">
        <v>88.099234999999993</v>
      </c>
    </row>
    <row r="190" spans="1:15" x14ac:dyDescent="0.2">
      <c r="A190" s="477">
        <v>51</v>
      </c>
      <c r="B190" s="477">
        <v>180</v>
      </c>
      <c r="C190" s="14" t="s">
        <v>620</v>
      </c>
      <c r="D190" s="14" t="s">
        <v>984</v>
      </c>
      <c r="E190" s="14" t="s">
        <v>985</v>
      </c>
      <c r="F190" s="14">
        <v>2.883</v>
      </c>
      <c r="G190" s="14">
        <v>1550</v>
      </c>
      <c r="H190" s="14">
        <v>1.9583379999999999</v>
      </c>
      <c r="I190" s="14">
        <v>0.32100000000000001</v>
      </c>
      <c r="J190" s="14">
        <v>0.33100000000000002</v>
      </c>
      <c r="K190" s="14">
        <v>1.671</v>
      </c>
      <c r="L190" s="14">
        <v>0.56000000000000005</v>
      </c>
      <c r="M190" s="14">
        <v>0</v>
      </c>
      <c r="N190" s="14">
        <v>1.2310000000000001</v>
      </c>
      <c r="O190" s="14">
        <v>42.705950000000001</v>
      </c>
    </row>
    <row r="191" spans="1:15" x14ac:dyDescent="0.2">
      <c r="A191" s="21"/>
      <c r="B191" s="21">
        <v>181</v>
      </c>
      <c r="C191" s="14" t="s">
        <v>621</v>
      </c>
      <c r="D191" s="14" t="s">
        <v>986</v>
      </c>
      <c r="E191" s="14" t="s">
        <v>987</v>
      </c>
      <c r="F191" s="14">
        <v>1</v>
      </c>
      <c r="G191" s="14">
        <v>1457.6910399999999</v>
      </c>
      <c r="H191" s="14">
        <v>231.775543</v>
      </c>
      <c r="I191" s="14">
        <v>0</v>
      </c>
      <c r="J191" s="14">
        <v>0</v>
      </c>
      <c r="K191" s="14">
        <v>0.997</v>
      </c>
      <c r="L191" s="14">
        <v>3.0000000000000001E-3</v>
      </c>
      <c r="M191" s="14">
        <v>0</v>
      </c>
      <c r="N191" s="14">
        <v>0.24399999999999999</v>
      </c>
      <c r="O191" s="14">
        <v>24.400331000000001</v>
      </c>
    </row>
    <row r="192" spans="1:15" x14ac:dyDescent="0.2">
      <c r="A192" s="21"/>
      <c r="B192" s="21">
        <v>182</v>
      </c>
      <c r="C192" s="14" t="s">
        <v>622</v>
      </c>
      <c r="D192" s="14" t="s">
        <v>987</v>
      </c>
      <c r="E192" s="14" t="s">
        <v>988</v>
      </c>
      <c r="F192" s="14">
        <v>3.7829999999999999</v>
      </c>
      <c r="G192" s="14">
        <v>1667.833862</v>
      </c>
      <c r="H192" s="14">
        <v>253.424576</v>
      </c>
      <c r="I192" s="14">
        <v>0</v>
      </c>
      <c r="J192" s="14">
        <v>2E-3</v>
      </c>
      <c r="K192" s="14">
        <v>0.59199999999999997</v>
      </c>
      <c r="L192" s="14">
        <v>2.7269999999999999</v>
      </c>
      <c r="M192" s="14">
        <v>0.46300000000000002</v>
      </c>
      <c r="N192" s="14">
        <v>2.742</v>
      </c>
      <c r="O192" s="14">
        <v>72.463190999999995</v>
      </c>
    </row>
    <row r="193" spans="1:15" x14ac:dyDescent="0.2">
      <c r="A193" s="21"/>
      <c r="B193" s="21">
        <v>183</v>
      </c>
      <c r="C193" s="14" t="s">
        <v>623</v>
      </c>
      <c r="D193" s="14" t="s">
        <v>988</v>
      </c>
      <c r="E193" s="14" t="s">
        <v>989</v>
      </c>
      <c r="F193" s="14">
        <v>1</v>
      </c>
      <c r="G193" s="14">
        <v>1684.785034</v>
      </c>
      <c r="H193" s="14">
        <v>277.44369499999999</v>
      </c>
      <c r="I193" s="14">
        <v>0</v>
      </c>
      <c r="J193" s="14">
        <v>0</v>
      </c>
      <c r="K193" s="14">
        <v>0</v>
      </c>
      <c r="L193" s="14">
        <v>2E-3</v>
      </c>
      <c r="M193" s="14">
        <v>0.998</v>
      </c>
      <c r="N193" s="14">
        <v>0.95</v>
      </c>
      <c r="O193" s="14">
        <v>94.999999000000003</v>
      </c>
    </row>
    <row r="194" spans="1:15" x14ac:dyDescent="0.2">
      <c r="A194" s="21"/>
      <c r="B194" s="21">
        <v>184</v>
      </c>
      <c r="C194" s="14" t="s">
        <v>624</v>
      </c>
      <c r="D194" s="14" t="s">
        <v>989</v>
      </c>
      <c r="E194" s="14" t="s">
        <v>990</v>
      </c>
      <c r="F194" s="14">
        <v>5.25</v>
      </c>
      <c r="G194" s="14">
        <v>1829.399048</v>
      </c>
      <c r="H194" s="14">
        <v>6.8265999999999993E-2</v>
      </c>
      <c r="I194" s="14">
        <v>0</v>
      </c>
      <c r="J194" s="14">
        <v>0</v>
      </c>
      <c r="K194" s="14">
        <v>0.223</v>
      </c>
      <c r="L194" s="14">
        <v>2.41</v>
      </c>
      <c r="M194" s="14">
        <v>2.617</v>
      </c>
      <c r="N194" s="14">
        <v>4.202</v>
      </c>
      <c r="O194" s="14">
        <v>80.040925999999999</v>
      </c>
    </row>
    <row r="195" spans="1:15" x14ac:dyDescent="0.2">
      <c r="A195" s="21"/>
      <c r="B195" s="21">
        <v>185</v>
      </c>
      <c r="C195" s="14" t="s">
        <v>627</v>
      </c>
      <c r="D195" s="14" t="s">
        <v>990</v>
      </c>
      <c r="E195" s="14" t="s">
        <v>991</v>
      </c>
      <c r="F195" s="14">
        <v>1</v>
      </c>
      <c r="G195" s="14">
        <v>1688.5460210000001</v>
      </c>
      <c r="H195" s="14">
        <v>291.25958300000002</v>
      </c>
      <c r="I195" s="14">
        <v>0</v>
      </c>
      <c r="J195" s="14">
        <v>0</v>
      </c>
      <c r="K195" s="14">
        <v>0</v>
      </c>
      <c r="L195" s="14">
        <v>0.124</v>
      </c>
      <c r="M195" s="14">
        <v>0.876</v>
      </c>
      <c r="N195" s="14">
        <v>0.80800000000000005</v>
      </c>
      <c r="O195" s="14">
        <v>80.810940000000002</v>
      </c>
    </row>
    <row r="196" spans="1:15" x14ac:dyDescent="0.2">
      <c r="A196" s="21"/>
      <c r="B196" s="21">
        <v>186</v>
      </c>
      <c r="C196" s="14" t="s">
        <v>628</v>
      </c>
      <c r="D196" s="14" t="s">
        <v>991</v>
      </c>
      <c r="E196" s="14" t="s">
        <v>992</v>
      </c>
      <c r="F196" s="14">
        <v>5.25</v>
      </c>
      <c r="G196" s="14">
        <v>1837.9373780000001</v>
      </c>
      <c r="H196" s="14">
        <v>183.19914199999999</v>
      </c>
      <c r="I196" s="14">
        <v>2.7610000000000001</v>
      </c>
      <c r="J196" s="14">
        <v>0.436</v>
      </c>
      <c r="K196" s="14">
        <v>0.73599999999999999</v>
      </c>
      <c r="L196" s="14">
        <v>1.113</v>
      </c>
      <c r="M196" s="14">
        <v>0.20399999999999999</v>
      </c>
      <c r="N196" s="14">
        <v>4.2990000000000004</v>
      </c>
      <c r="O196" s="14">
        <v>81.878078000000002</v>
      </c>
    </row>
    <row r="197" spans="1:15" x14ac:dyDescent="0.2">
      <c r="A197" s="21"/>
      <c r="B197" s="21">
        <v>187</v>
      </c>
      <c r="C197" s="14" t="s">
        <v>629</v>
      </c>
      <c r="D197" s="14" t="s">
        <v>992</v>
      </c>
      <c r="E197" s="14" t="s">
        <v>993</v>
      </c>
      <c r="F197" s="14">
        <v>1</v>
      </c>
      <c r="G197" s="14">
        <v>1555.2154539999999</v>
      </c>
      <c r="H197" s="14">
        <v>371.65841699999999</v>
      </c>
      <c r="I197" s="14">
        <v>0</v>
      </c>
      <c r="J197" s="14">
        <v>0</v>
      </c>
      <c r="K197" s="14">
        <v>1.2999999999999999E-2</v>
      </c>
      <c r="L197" s="14">
        <v>0.98699999999999999</v>
      </c>
      <c r="M197" s="14">
        <v>0</v>
      </c>
      <c r="N197" s="14">
        <v>0.88500000000000001</v>
      </c>
      <c r="O197" s="14">
        <v>88.522386999999995</v>
      </c>
    </row>
    <row r="198" spans="1:15" x14ac:dyDescent="0.2">
      <c r="A198" s="21"/>
      <c r="B198" s="21">
        <v>188</v>
      </c>
      <c r="C198" s="14" t="s">
        <v>630</v>
      </c>
      <c r="D198" s="14" t="s">
        <v>993</v>
      </c>
      <c r="E198" s="14" t="s">
        <v>994</v>
      </c>
      <c r="F198" s="14">
        <v>7</v>
      </c>
      <c r="G198" s="14">
        <v>1505.587769</v>
      </c>
      <c r="H198" s="14">
        <v>498.942474</v>
      </c>
      <c r="I198" s="14">
        <v>2.645</v>
      </c>
      <c r="J198" s="14">
        <v>2.004</v>
      </c>
      <c r="K198" s="14">
        <v>1.94</v>
      </c>
      <c r="L198" s="14">
        <v>0.41099999999999998</v>
      </c>
      <c r="M198" s="14">
        <v>0</v>
      </c>
      <c r="N198" s="14">
        <v>4.37</v>
      </c>
      <c r="O198" s="14">
        <v>62.423991999999998</v>
      </c>
    </row>
    <row r="199" spans="1:15" x14ac:dyDescent="0.2">
      <c r="A199" s="21"/>
      <c r="B199" s="21">
        <v>189</v>
      </c>
      <c r="C199" s="14" t="s">
        <v>631</v>
      </c>
      <c r="D199" s="14" t="s">
        <v>994</v>
      </c>
      <c r="E199" s="14" t="s">
        <v>995</v>
      </c>
      <c r="F199" s="14">
        <v>5.75</v>
      </c>
      <c r="G199" s="14">
        <v>1643.1872559999999</v>
      </c>
      <c r="H199" s="14">
        <v>286.83178700000002</v>
      </c>
      <c r="I199" s="14">
        <v>5.5620000000000003</v>
      </c>
      <c r="J199" s="14">
        <v>0.125</v>
      </c>
      <c r="K199" s="14">
        <v>1.7999999999999999E-2</v>
      </c>
      <c r="L199" s="14">
        <v>2.7E-2</v>
      </c>
      <c r="M199" s="14">
        <v>1.7999999999999999E-2</v>
      </c>
      <c r="N199" s="14">
        <v>5.6319999999999997</v>
      </c>
      <c r="O199" s="14">
        <v>97.941481999999993</v>
      </c>
    </row>
    <row r="200" spans="1:15" x14ac:dyDescent="0.2">
      <c r="A200" s="21"/>
      <c r="B200" s="21">
        <v>190</v>
      </c>
      <c r="C200" s="14" t="s">
        <v>633</v>
      </c>
      <c r="D200" s="14" t="s">
        <v>995</v>
      </c>
      <c r="E200" s="14" t="s">
        <v>996</v>
      </c>
      <c r="F200" s="14">
        <v>1</v>
      </c>
      <c r="G200" s="14">
        <v>1199.7261960000001</v>
      </c>
      <c r="H200" s="14">
        <v>661.16717500000004</v>
      </c>
      <c r="I200" s="14">
        <v>1</v>
      </c>
      <c r="J200" s="14">
        <v>0</v>
      </c>
      <c r="K200" s="14">
        <v>0</v>
      </c>
      <c r="L200" s="14">
        <v>0</v>
      </c>
      <c r="M200" s="14">
        <v>0</v>
      </c>
      <c r="N200" s="14">
        <v>1</v>
      </c>
      <c r="O200" s="14">
        <v>100</v>
      </c>
    </row>
    <row r="201" spans="1:15" x14ac:dyDescent="0.2">
      <c r="A201" s="477">
        <v>52</v>
      </c>
      <c r="B201" s="477">
        <v>191</v>
      </c>
      <c r="C201" s="14" t="s">
        <v>634</v>
      </c>
      <c r="D201" s="14" t="s">
        <v>997</v>
      </c>
      <c r="E201" s="14" t="s">
        <v>998</v>
      </c>
      <c r="F201" s="14">
        <v>9.6329999999999991</v>
      </c>
      <c r="G201" s="14">
        <v>1590.2517089999999</v>
      </c>
      <c r="H201" s="14">
        <v>356.07980300000003</v>
      </c>
      <c r="I201" s="14">
        <v>0</v>
      </c>
      <c r="J201" s="14">
        <v>0</v>
      </c>
      <c r="K201" s="14">
        <v>0</v>
      </c>
      <c r="L201" s="14">
        <v>9.6329999999999991</v>
      </c>
      <c r="M201" s="14">
        <v>0</v>
      </c>
      <c r="N201" s="14">
        <v>0.193</v>
      </c>
      <c r="O201" s="14">
        <v>2</v>
      </c>
    </row>
    <row r="202" spans="1:15" x14ac:dyDescent="0.2">
      <c r="A202" s="477">
        <v>53</v>
      </c>
      <c r="B202" s="477">
        <v>192</v>
      </c>
      <c r="C202" s="14" t="s">
        <v>635</v>
      </c>
      <c r="D202" s="14" t="s">
        <v>999</v>
      </c>
      <c r="E202" s="14" t="s">
        <v>1000</v>
      </c>
      <c r="F202" s="14">
        <v>2.4329999999999998</v>
      </c>
      <c r="G202" s="14">
        <v>1584.9632570000001</v>
      </c>
      <c r="H202" s="14">
        <v>356.32583599999998</v>
      </c>
      <c r="I202" s="14">
        <v>0</v>
      </c>
      <c r="J202" s="14">
        <v>0</v>
      </c>
      <c r="K202" s="14">
        <v>0</v>
      </c>
      <c r="L202" s="14">
        <v>2.4329999999999998</v>
      </c>
      <c r="M202" s="14">
        <v>0</v>
      </c>
      <c r="N202" s="14">
        <v>4.9000000000000002E-2</v>
      </c>
      <c r="O202" s="14">
        <v>2</v>
      </c>
    </row>
    <row r="203" spans="1:15" x14ac:dyDescent="0.2">
      <c r="A203" s="21"/>
      <c r="B203" s="21"/>
    </row>
  </sheetData>
  <conditionalFormatting sqref="B132">
    <cfRule type="expression" dxfId="186" priority="1">
      <formula>$O132=1</formula>
    </cfRule>
  </conditionalFormatting>
  <pageMargins left="0.7" right="0.7" top="0.75" bottom="0.75" header="0.3" footer="0.3"/>
  <pageSetup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6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8" width="7.625" style="568" bestFit="1" customWidth="1"/>
    <col min="9" max="9" width="5" style="568" bestFit="1" customWidth="1"/>
    <col min="10" max="10" width="8.375" style="568" bestFit="1" customWidth="1"/>
    <col min="11" max="11" width="18.75" style="568" bestFit="1" customWidth="1"/>
    <col min="12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4" width="7.625" style="568" bestFit="1" customWidth="1"/>
    <col min="265" max="265" width="5" style="568" bestFit="1" customWidth="1"/>
    <col min="266" max="266" width="8.375" style="568" bestFit="1" customWidth="1"/>
    <col min="267" max="267" width="18.75" style="568" bestFit="1" customWidth="1"/>
    <col min="268" max="269" width="8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20" width="7.625" style="568" bestFit="1" customWidth="1"/>
    <col min="521" max="521" width="5" style="568" bestFit="1" customWidth="1"/>
    <col min="522" max="522" width="8.375" style="568" bestFit="1" customWidth="1"/>
    <col min="523" max="523" width="18.75" style="568" bestFit="1" customWidth="1"/>
    <col min="524" max="525" width="8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6" width="7.625" style="568" bestFit="1" customWidth="1"/>
    <col min="777" max="777" width="5" style="568" bestFit="1" customWidth="1"/>
    <col min="778" max="778" width="8.375" style="568" bestFit="1" customWidth="1"/>
    <col min="779" max="779" width="18.75" style="568" bestFit="1" customWidth="1"/>
    <col min="780" max="781" width="8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2" width="7.625" style="568" bestFit="1" customWidth="1"/>
    <col min="1033" max="1033" width="5" style="568" bestFit="1" customWidth="1"/>
    <col min="1034" max="1034" width="8.375" style="568" bestFit="1" customWidth="1"/>
    <col min="1035" max="1035" width="18.75" style="568" bestFit="1" customWidth="1"/>
    <col min="1036" max="1037" width="8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8" width="7.625" style="568" bestFit="1" customWidth="1"/>
    <col min="1289" max="1289" width="5" style="568" bestFit="1" customWidth="1"/>
    <col min="1290" max="1290" width="8.375" style="568" bestFit="1" customWidth="1"/>
    <col min="1291" max="1291" width="18.75" style="568" bestFit="1" customWidth="1"/>
    <col min="1292" max="1293" width="8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4" width="7.625" style="568" bestFit="1" customWidth="1"/>
    <col min="1545" max="1545" width="5" style="568" bestFit="1" customWidth="1"/>
    <col min="1546" max="1546" width="8.375" style="568" bestFit="1" customWidth="1"/>
    <col min="1547" max="1547" width="18.75" style="568" bestFit="1" customWidth="1"/>
    <col min="1548" max="1549" width="8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800" width="7.625" style="568" bestFit="1" customWidth="1"/>
    <col min="1801" max="1801" width="5" style="568" bestFit="1" customWidth="1"/>
    <col min="1802" max="1802" width="8.375" style="568" bestFit="1" customWidth="1"/>
    <col min="1803" max="1803" width="18.75" style="568" bestFit="1" customWidth="1"/>
    <col min="1804" max="1805" width="8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6" width="7.625" style="568" bestFit="1" customWidth="1"/>
    <col min="2057" max="2057" width="5" style="568" bestFit="1" customWidth="1"/>
    <col min="2058" max="2058" width="8.375" style="568" bestFit="1" customWidth="1"/>
    <col min="2059" max="2059" width="18.75" style="568" bestFit="1" customWidth="1"/>
    <col min="2060" max="2061" width="8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2" width="7.625" style="568" bestFit="1" customWidth="1"/>
    <col min="2313" max="2313" width="5" style="568" bestFit="1" customWidth="1"/>
    <col min="2314" max="2314" width="8.375" style="568" bestFit="1" customWidth="1"/>
    <col min="2315" max="2315" width="18.75" style="568" bestFit="1" customWidth="1"/>
    <col min="2316" max="2317" width="8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8" width="7.625" style="568" bestFit="1" customWidth="1"/>
    <col min="2569" max="2569" width="5" style="568" bestFit="1" customWidth="1"/>
    <col min="2570" max="2570" width="8.375" style="568" bestFit="1" customWidth="1"/>
    <col min="2571" max="2571" width="18.75" style="568" bestFit="1" customWidth="1"/>
    <col min="2572" max="2573" width="8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4" width="7.625" style="568" bestFit="1" customWidth="1"/>
    <col min="2825" max="2825" width="5" style="568" bestFit="1" customWidth="1"/>
    <col min="2826" max="2826" width="8.375" style="568" bestFit="1" customWidth="1"/>
    <col min="2827" max="2827" width="18.75" style="568" bestFit="1" customWidth="1"/>
    <col min="2828" max="2829" width="8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80" width="7.625" style="568" bestFit="1" customWidth="1"/>
    <col min="3081" max="3081" width="5" style="568" bestFit="1" customWidth="1"/>
    <col min="3082" max="3082" width="8.375" style="568" bestFit="1" customWidth="1"/>
    <col min="3083" max="3083" width="18.75" style="568" bestFit="1" customWidth="1"/>
    <col min="3084" max="3085" width="8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6" width="7.625" style="568" bestFit="1" customWidth="1"/>
    <col min="3337" max="3337" width="5" style="568" bestFit="1" customWidth="1"/>
    <col min="3338" max="3338" width="8.375" style="568" bestFit="1" customWidth="1"/>
    <col min="3339" max="3339" width="18.75" style="568" bestFit="1" customWidth="1"/>
    <col min="3340" max="3341" width="8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2" width="7.625" style="568" bestFit="1" customWidth="1"/>
    <col min="3593" max="3593" width="5" style="568" bestFit="1" customWidth="1"/>
    <col min="3594" max="3594" width="8.375" style="568" bestFit="1" customWidth="1"/>
    <col min="3595" max="3595" width="18.75" style="568" bestFit="1" customWidth="1"/>
    <col min="3596" max="3597" width="8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8" width="7.625" style="568" bestFit="1" customWidth="1"/>
    <col min="3849" max="3849" width="5" style="568" bestFit="1" customWidth="1"/>
    <col min="3850" max="3850" width="8.375" style="568" bestFit="1" customWidth="1"/>
    <col min="3851" max="3851" width="18.75" style="568" bestFit="1" customWidth="1"/>
    <col min="3852" max="3853" width="8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4" width="7.625" style="568" bestFit="1" customWidth="1"/>
    <col min="4105" max="4105" width="5" style="568" bestFit="1" customWidth="1"/>
    <col min="4106" max="4106" width="8.375" style="568" bestFit="1" customWidth="1"/>
    <col min="4107" max="4107" width="18.75" style="568" bestFit="1" customWidth="1"/>
    <col min="4108" max="4109" width="8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60" width="7.625" style="568" bestFit="1" customWidth="1"/>
    <col min="4361" max="4361" width="5" style="568" bestFit="1" customWidth="1"/>
    <col min="4362" max="4362" width="8.375" style="568" bestFit="1" customWidth="1"/>
    <col min="4363" max="4363" width="18.75" style="568" bestFit="1" customWidth="1"/>
    <col min="4364" max="4365" width="8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6" width="7.625" style="568" bestFit="1" customWidth="1"/>
    <col min="4617" max="4617" width="5" style="568" bestFit="1" customWidth="1"/>
    <col min="4618" max="4618" width="8.375" style="568" bestFit="1" customWidth="1"/>
    <col min="4619" max="4619" width="18.75" style="568" bestFit="1" customWidth="1"/>
    <col min="4620" max="4621" width="8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2" width="7.625" style="568" bestFit="1" customWidth="1"/>
    <col min="4873" max="4873" width="5" style="568" bestFit="1" customWidth="1"/>
    <col min="4874" max="4874" width="8.375" style="568" bestFit="1" customWidth="1"/>
    <col min="4875" max="4875" width="18.75" style="568" bestFit="1" customWidth="1"/>
    <col min="4876" max="4877" width="8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8" width="7.625" style="568" bestFit="1" customWidth="1"/>
    <col min="5129" max="5129" width="5" style="568" bestFit="1" customWidth="1"/>
    <col min="5130" max="5130" width="8.375" style="568" bestFit="1" customWidth="1"/>
    <col min="5131" max="5131" width="18.75" style="568" bestFit="1" customWidth="1"/>
    <col min="5132" max="5133" width="8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4" width="7.625" style="568" bestFit="1" customWidth="1"/>
    <col min="5385" max="5385" width="5" style="568" bestFit="1" customWidth="1"/>
    <col min="5386" max="5386" width="8.375" style="568" bestFit="1" customWidth="1"/>
    <col min="5387" max="5387" width="18.75" style="568" bestFit="1" customWidth="1"/>
    <col min="5388" max="5389" width="8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40" width="7.625" style="568" bestFit="1" customWidth="1"/>
    <col min="5641" max="5641" width="5" style="568" bestFit="1" customWidth="1"/>
    <col min="5642" max="5642" width="8.375" style="568" bestFit="1" customWidth="1"/>
    <col min="5643" max="5643" width="18.75" style="568" bestFit="1" customWidth="1"/>
    <col min="5644" max="5645" width="8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6" width="7.625" style="568" bestFit="1" customWidth="1"/>
    <col min="5897" max="5897" width="5" style="568" bestFit="1" customWidth="1"/>
    <col min="5898" max="5898" width="8.375" style="568" bestFit="1" customWidth="1"/>
    <col min="5899" max="5899" width="18.75" style="568" bestFit="1" customWidth="1"/>
    <col min="5900" max="5901" width="8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2" width="7.625" style="568" bestFit="1" customWidth="1"/>
    <col min="6153" max="6153" width="5" style="568" bestFit="1" customWidth="1"/>
    <col min="6154" max="6154" width="8.375" style="568" bestFit="1" customWidth="1"/>
    <col min="6155" max="6155" width="18.75" style="568" bestFit="1" customWidth="1"/>
    <col min="6156" max="6157" width="8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8" width="7.625" style="568" bestFit="1" customWidth="1"/>
    <col min="6409" max="6409" width="5" style="568" bestFit="1" customWidth="1"/>
    <col min="6410" max="6410" width="8.375" style="568" bestFit="1" customWidth="1"/>
    <col min="6411" max="6411" width="18.75" style="568" bestFit="1" customWidth="1"/>
    <col min="6412" max="6413" width="8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4" width="7.625" style="568" bestFit="1" customWidth="1"/>
    <col min="6665" max="6665" width="5" style="568" bestFit="1" customWidth="1"/>
    <col min="6666" max="6666" width="8.375" style="568" bestFit="1" customWidth="1"/>
    <col min="6667" max="6667" width="18.75" style="568" bestFit="1" customWidth="1"/>
    <col min="6668" max="6669" width="8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20" width="7.625" style="568" bestFit="1" customWidth="1"/>
    <col min="6921" max="6921" width="5" style="568" bestFit="1" customWidth="1"/>
    <col min="6922" max="6922" width="8.375" style="568" bestFit="1" customWidth="1"/>
    <col min="6923" max="6923" width="18.75" style="568" bestFit="1" customWidth="1"/>
    <col min="6924" max="6925" width="8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6" width="7.625" style="568" bestFit="1" customWidth="1"/>
    <col min="7177" max="7177" width="5" style="568" bestFit="1" customWidth="1"/>
    <col min="7178" max="7178" width="8.375" style="568" bestFit="1" customWidth="1"/>
    <col min="7179" max="7179" width="18.75" style="568" bestFit="1" customWidth="1"/>
    <col min="7180" max="7181" width="8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2" width="7.625" style="568" bestFit="1" customWidth="1"/>
    <col min="7433" max="7433" width="5" style="568" bestFit="1" customWidth="1"/>
    <col min="7434" max="7434" width="8.375" style="568" bestFit="1" customWidth="1"/>
    <col min="7435" max="7435" width="18.75" style="568" bestFit="1" customWidth="1"/>
    <col min="7436" max="7437" width="8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8" width="7.625" style="568" bestFit="1" customWidth="1"/>
    <col min="7689" max="7689" width="5" style="568" bestFit="1" customWidth="1"/>
    <col min="7690" max="7690" width="8.375" style="568" bestFit="1" customWidth="1"/>
    <col min="7691" max="7691" width="18.75" style="568" bestFit="1" customWidth="1"/>
    <col min="7692" max="7693" width="8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4" width="7.625" style="568" bestFit="1" customWidth="1"/>
    <col min="7945" max="7945" width="5" style="568" bestFit="1" customWidth="1"/>
    <col min="7946" max="7946" width="8.375" style="568" bestFit="1" customWidth="1"/>
    <col min="7947" max="7947" width="18.75" style="568" bestFit="1" customWidth="1"/>
    <col min="7948" max="7949" width="8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200" width="7.625" style="568" bestFit="1" customWidth="1"/>
    <col min="8201" max="8201" width="5" style="568" bestFit="1" customWidth="1"/>
    <col min="8202" max="8202" width="8.375" style="568" bestFit="1" customWidth="1"/>
    <col min="8203" max="8203" width="18.75" style="568" bestFit="1" customWidth="1"/>
    <col min="8204" max="8205" width="8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6" width="7.625" style="568" bestFit="1" customWidth="1"/>
    <col min="8457" max="8457" width="5" style="568" bestFit="1" customWidth="1"/>
    <col min="8458" max="8458" width="8.375" style="568" bestFit="1" customWidth="1"/>
    <col min="8459" max="8459" width="18.75" style="568" bestFit="1" customWidth="1"/>
    <col min="8460" max="8461" width="8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2" width="7.625" style="568" bestFit="1" customWidth="1"/>
    <col min="8713" max="8713" width="5" style="568" bestFit="1" customWidth="1"/>
    <col min="8714" max="8714" width="8.375" style="568" bestFit="1" customWidth="1"/>
    <col min="8715" max="8715" width="18.75" style="568" bestFit="1" customWidth="1"/>
    <col min="8716" max="8717" width="8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8" width="7.625" style="568" bestFit="1" customWidth="1"/>
    <col min="8969" max="8969" width="5" style="568" bestFit="1" customWidth="1"/>
    <col min="8970" max="8970" width="8.375" style="568" bestFit="1" customWidth="1"/>
    <col min="8971" max="8971" width="18.75" style="568" bestFit="1" customWidth="1"/>
    <col min="8972" max="8973" width="8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4" width="7.625" style="568" bestFit="1" customWidth="1"/>
    <col min="9225" max="9225" width="5" style="568" bestFit="1" customWidth="1"/>
    <col min="9226" max="9226" width="8.375" style="568" bestFit="1" customWidth="1"/>
    <col min="9227" max="9227" width="18.75" style="568" bestFit="1" customWidth="1"/>
    <col min="9228" max="9229" width="8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80" width="7.625" style="568" bestFit="1" customWidth="1"/>
    <col min="9481" max="9481" width="5" style="568" bestFit="1" customWidth="1"/>
    <col min="9482" max="9482" width="8.375" style="568" bestFit="1" customWidth="1"/>
    <col min="9483" max="9483" width="18.75" style="568" bestFit="1" customWidth="1"/>
    <col min="9484" max="9485" width="8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6" width="7.625" style="568" bestFit="1" customWidth="1"/>
    <col min="9737" max="9737" width="5" style="568" bestFit="1" customWidth="1"/>
    <col min="9738" max="9738" width="8.375" style="568" bestFit="1" customWidth="1"/>
    <col min="9739" max="9739" width="18.75" style="568" bestFit="1" customWidth="1"/>
    <col min="9740" max="9741" width="8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2" width="7.625" style="568" bestFit="1" customWidth="1"/>
    <col min="9993" max="9993" width="5" style="568" bestFit="1" customWidth="1"/>
    <col min="9994" max="9994" width="8.375" style="568" bestFit="1" customWidth="1"/>
    <col min="9995" max="9995" width="18.75" style="568" bestFit="1" customWidth="1"/>
    <col min="9996" max="9997" width="8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8" width="7.625" style="568" bestFit="1" customWidth="1"/>
    <col min="10249" max="10249" width="5" style="568" bestFit="1" customWidth="1"/>
    <col min="10250" max="10250" width="8.375" style="568" bestFit="1" customWidth="1"/>
    <col min="10251" max="10251" width="18.75" style="568" bestFit="1" customWidth="1"/>
    <col min="10252" max="10253" width="8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4" width="7.625" style="568" bestFit="1" customWidth="1"/>
    <col min="10505" max="10505" width="5" style="568" bestFit="1" customWidth="1"/>
    <col min="10506" max="10506" width="8.375" style="568" bestFit="1" customWidth="1"/>
    <col min="10507" max="10507" width="18.75" style="568" bestFit="1" customWidth="1"/>
    <col min="10508" max="10509" width="8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60" width="7.625" style="568" bestFit="1" customWidth="1"/>
    <col min="10761" max="10761" width="5" style="568" bestFit="1" customWidth="1"/>
    <col min="10762" max="10762" width="8.375" style="568" bestFit="1" customWidth="1"/>
    <col min="10763" max="10763" width="18.75" style="568" bestFit="1" customWidth="1"/>
    <col min="10764" max="10765" width="8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6" width="7.625" style="568" bestFit="1" customWidth="1"/>
    <col min="11017" max="11017" width="5" style="568" bestFit="1" customWidth="1"/>
    <col min="11018" max="11018" width="8.375" style="568" bestFit="1" customWidth="1"/>
    <col min="11019" max="11019" width="18.75" style="568" bestFit="1" customWidth="1"/>
    <col min="11020" max="11021" width="8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2" width="7.625" style="568" bestFit="1" customWidth="1"/>
    <col min="11273" max="11273" width="5" style="568" bestFit="1" customWidth="1"/>
    <col min="11274" max="11274" width="8.375" style="568" bestFit="1" customWidth="1"/>
    <col min="11275" max="11275" width="18.75" style="568" bestFit="1" customWidth="1"/>
    <col min="11276" max="11277" width="8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8" width="7.625" style="568" bestFit="1" customWidth="1"/>
    <col min="11529" max="11529" width="5" style="568" bestFit="1" customWidth="1"/>
    <col min="11530" max="11530" width="8.375" style="568" bestFit="1" customWidth="1"/>
    <col min="11531" max="11531" width="18.75" style="568" bestFit="1" customWidth="1"/>
    <col min="11532" max="11533" width="8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4" width="7.625" style="568" bestFit="1" customWidth="1"/>
    <col min="11785" max="11785" width="5" style="568" bestFit="1" customWidth="1"/>
    <col min="11786" max="11786" width="8.375" style="568" bestFit="1" customWidth="1"/>
    <col min="11787" max="11787" width="18.75" style="568" bestFit="1" customWidth="1"/>
    <col min="11788" max="11789" width="8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40" width="7.625" style="568" bestFit="1" customWidth="1"/>
    <col min="12041" max="12041" width="5" style="568" bestFit="1" customWidth="1"/>
    <col min="12042" max="12042" width="8.375" style="568" bestFit="1" customWidth="1"/>
    <col min="12043" max="12043" width="18.75" style="568" bestFit="1" customWidth="1"/>
    <col min="12044" max="12045" width="8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6" width="7.625" style="568" bestFit="1" customWidth="1"/>
    <col min="12297" max="12297" width="5" style="568" bestFit="1" customWidth="1"/>
    <col min="12298" max="12298" width="8.375" style="568" bestFit="1" customWidth="1"/>
    <col min="12299" max="12299" width="18.75" style="568" bestFit="1" customWidth="1"/>
    <col min="12300" max="12301" width="8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2" width="7.625" style="568" bestFit="1" customWidth="1"/>
    <col min="12553" max="12553" width="5" style="568" bestFit="1" customWidth="1"/>
    <col min="12554" max="12554" width="8.375" style="568" bestFit="1" customWidth="1"/>
    <col min="12555" max="12555" width="18.75" style="568" bestFit="1" customWidth="1"/>
    <col min="12556" max="12557" width="8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8" width="7.625" style="568" bestFit="1" customWidth="1"/>
    <col min="12809" max="12809" width="5" style="568" bestFit="1" customWidth="1"/>
    <col min="12810" max="12810" width="8.375" style="568" bestFit="1" customWidth="1"/>
    <col min="12811" max="12811" width="18.75" style="568" bestFit="1" customWidth="1"/>
    <col min="12812" max="12813" width="8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4" width="7.625" style="568" bestFit="1" customWidth="1"/>
    <col min="13065" max="13065" width="5" style="568" bestFit="1" customWidth="1"/>
    <col min="13066" max="13066" width="8.375" style="568" bestFit="1" customWidth="1"/>
    <col min="13067" max="13067" width="18.75" style="568" bestFit="1" customWidth="1"/>
    <col min="13068" max="13069" width="8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20" width="7.625" style="568" bestFit="1" customWidth="1"/>
    <col min="13321" max="13321" width="5" style="568" bestFit="1" customWidth="1"/>
    <col min="13322" max="13322" width="8.375" style="568" bestFit="1" customWidth="1"/>
    <col min="13323" max="13323" width="18.75" style="568" bestFit="1" customWidth="1"/>
    <col min="13324" max="13325" width="8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6" width="7.625" style="568" bestFit="1" customWidth="1"/>
    <col min="13577" max="13577" width="5" style="568" bestFit="1" customWidth="1"/>
    <col min="13578" max="13578" width="8.375" style="568" bestFit="1" customWidth="1"/>
    <col min="13579" max="13579" width="18.75" style="568" bestFit="1" customWidth="1"/>
    <col min="13580" max="13581" width="8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2" width="7.625" style="568" bestFit="1" customWidth="1"/>
    <col min="13833" max="13833" width="5" style="568" bestFit="1" customWidth="1"/>
    <col min="13834" max="13834" width="8.375" style="568" bestFit="1" customWidth="1"/>
    <col min="13835" max="13835" width="18.75" style="568" bestFit="1" customWidth="1"/>
    <col min="13836" max="13837" width="8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8" width="7.625" style="568" bestFit="1" customWidth="1"/>
    <col min="14089" max="14089" width="5" style="568" bestFit="1" customWidth="1"/>
    <col min="14090" max="14090" width="8.375" style="568" bestFit="1" customWidth="1"/>
    <col min="14091" max="14091" width="18.75" style="568" bestFit="1" customWidth="1"/>
    <col min="14092" max="14093" width="8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4" width="7.625" style="568" bestFit="1" customWidth="1"/>
    <col min="14345" max="14345" width="5" style="568" bestFit="1" customWidth="1"/>
    <col min="14346" max="14346" width="8.375" style="568" bestFit="1" customWidth="1"/>
    <col min="14347" max="14347" width="18.75" style="568" bestFit="1" customWidth="1"/>
    <col min="14348" max="14349" width="8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600" width="7.625" style="568" bestFit="1" customWidth="1"/>
    <col min="14601" max="14601" width="5" style="568" bestFit="1" customWidth="1"/>
    <col min="14602" max="14602" width="8.375" style="568" bestFit="1" customWidth="1"/>
    <col min="14603" max="14603" width="18.75" style="568" bestFit="1" customWidth="1"/>
    <col min="14604" max="14605" width="8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6" width="7.625" style="568" bestFit="1" customWidth="1"/>
    <col min="14857" max="14857" width="5" style="568" bestFit="1" customWidth="1"/>
    <col min="14858" max="14858" width="8.375" style="568" bestFit="1" customWidth="1"/>
    <col min="14859" max="14859" width="18.75" style="568" bestFit="1" customWidth="1"/>
    <col min="14860" max="14861" width="8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2" width="7.625" style="568" bestFit="1" customWidth="1"/>
    <col min="15113" max="15113" width="5" style="568" bestFit="1" customWidth="1"/>
    <col min="15114" max="15114" width="8.375" style="568" bestFit="1" customWidth="1"/>
    <col min="15115" max="15115" width="18.75" style="568" bestFit="1" customWidth="1"/>
    <col min="15116" max="15117" width="8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8" width="7.625" style="568" bestFit="1" customWidth="1"/>
    <col min="15369" max="15369" width="5" style="568" bestFit="1" customWidth="1"/>
    <col min="15370" max="15370" width="8.375" style="568" bestFit="1" customWidth="1"/>
    <col min="15371" max="15371" width="18.75" style="568" bestFit="1" customWidth="1"/>
    <col min="15372" max="15373" width="8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4" width="7.625" style="568" bestFit="1" customWidth="1"/>
    <col min="15625" max="15625" width="5" style="568" bestFit="1" customWidth="1"/>
    <col min="15626" max="15626" width="8.375" style="568" bestFit="1" customWidth="1"/>
    <col min="15627" max="15627" width="18.75" style="568" bestFit="1" customWidth="1"/>
    <col min="15628" max="15629" width="8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80" width="7.625" style="568" bestFit="1" customWidth="1"/>
    <col min="15881" max="15881" width="5" style="568" bestFit="1" customWidth="1"/>
    <col min="15882" max="15882" width="8.375" style="568" bestFit="1" customWidth="1"/>
    <col min="15883" max="15883" width="18.75" style="568" bestFit="1" customWidth="1"/>
    <col min="15884" max="15885" width="8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6" width="7.625" style="568" bestFit="1" customWidth="1"/>
    <col min="16137" max="16137" width="5" style="568" bestFit="1" customWidth="1"/>
    <col min="16138" max="16138" width="8.375" style="568" bestFit="1" customWidth="1"/>
    <col min="16139" max="16139" width="18.75" style="568" bestFit="1" customWidth="1"/>
    <col min="16140" max="16141" width="8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916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401</v>
      </c>
      <c r="J9" s="567" t="s">
        <v>327</v>
      </c>
      <c r="K9" s="567" t="s">
        <v>1002</v>
      </c>
      <c r="L9" s="567" t="s">
        <v>1003</v>
      </c>
      <c r="M9" s="567" t="s">
        <v>1004</v>
      </c>
      <c r="N9" s="567" t="s">
        <v>1011</v>
      </c>
      <c r="O9" s="567" t="s">
        <v>1012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0.17429398148148148</v>
      </c>
      <c r="E10" s="567">
        <v>120472</v>
      </c>
      <c r="F10" s="567" t="s">
        <v>1001</v>
      </c>
      <c r="G10" s="567" t="s">
        <v>326</v>
      </c>
      <c r="H10" s="567">
        <v>0</v>
      </c>
      <c r="I10" s="567">
        <v>401</v>
      </c>
      <c r="J10" s="567" t="s">
        <v>327</v>
      </c>
      <c r="K10" s="567" t="s">
        <v>1002</v>
      </c>
      <c r="L10" s="567" t="s">
        <v>1003</v>
      </c>
      <c r="M10" s="567" t="s">
        <v>1004</v>
      </c>
      <c r="N10" s="567" t="s">
        <v>1011</v>
      </c>
      <c r="O10" s="567" t="s">
        <v>1012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0.18541666666666667</v>
      </c>
      <c r="E11" s="567">
        <v>7688</v>
      </c>
      <c r="F11" s="567" t="s">
        <v>335</v>
      </c>
      <c r="G11" s="567">
        <v>0</v>
      </c>
      <c r="H11" s="567" t="s">
        <v>326</v>
      </c>
      <c r="I11" s="567" t="s">
        <v>336</v>
      </c>
      <c r="J11" s="567">
        <v>0</v>
      </c>
      <c r="K11" s="567" t="s">
        <v>337</v>
      </c>
      <c r="L11" s="567">
        <v>45</v>
      </c>
      <c r="M11" s="567">
        <v>1</v>
      </c>
    </row>
    <row r="12" spans="1:18" ht="15" x14ac:dyDescent="0.2">
      <c r="A12" s="567"/>
      <c r="B12" s="567"/>
      <c r="C12" s="567"/>
      <c r="D12" s="569">
        <v>0.18888888888888888</v>
      </c>
      <c r="E12" s="567">
        <v>0</v>
      </c>
      <c r="F12" s="567" t="s">
        <v>1001</v>
      </c>
      <c r="G12" s="567" t="s">
        <v>326</v>
      </c>
      <c r="H12" s="567">
        <v>0</v>
      </c>
      <c r="I12" s="567">
        <v>97</v>
      </c>
      <c r="J12" s="567" t="s">
        <v>1010</v>
      </c>
      <c r="K12" s="567" t="s">
        <v>1002</v>
      </c>
      <c r="L12" s="567" t="s">
        <v>1003</v>
      </c>
      <c r="M12" s="567" t="s">
        <v>1004</v>
      </c>
      <c r="N12" s="567" t="s">
        <v>1011</v>
      </c>
      <c r="O12" s="567" t="s">
        <v>1012</v>
      </c>
      <c r="P12" s="567" t="s">
        <v>1007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0.29986111111111108</v>
      </c>
      <c r="E13" s="567">
        <v>76704</v>
      </c>
      <c r="F13" s="567" t="s">
        <v>1001</v>
      </c>
      <c r="G13" s="567" t="s">
        <v>326</v>
      </c>
      <c r="H13" s="567">
        <v>0</v>
      </c>
      <c r="I13" s="567">
        <v>97</v>
      </c>
      <c r="J13" s="567" t="s">
        <v>1010</v>
      </c>
      <c r="K13" s="567" t="s">
        <v>1002</v>
      </c>
      <c r="L13" s="567" t="s">
        <v>1003</v>
      </c>
      <c r="M13" s="567" t="s">
        <v>1004</v>
      </c>
      <c r="N13" s="567" t="s">
        <v>1011</v>
      </c>
      <c r="O13" s="567" t="s">
        <v>1012</v>
      </c>
      <c r="P13" s="567" t="s">
        <v>1009</v>
      </c>
      <c r="Q13" s="567" t="s">
        <v>1008</v>
      </c>
      <c r="R13" s="567">
        <v>80</v>
      </c>
    </row>
    <row r="14" spans="1:18" ht="15" x14ac:dyDescent="0.2">
      <c r="A14" s="567"/>
      <c r="B14" s="567"/>
      <c r="C14" s="567"/>
      <c r="D14" s="569">
        <v>0.30694444444444441</v>
      </c>
      <c r="E14" s="567">
        <v>4896</v>
      </c>
      <c r="F14" s="567" t="s">
        <v>1001</v>
      </c>
      <c r="G14" s="567" t="s">
        <v>326</v>
      </c>
      <c r="H14" s="567">
        <v>0</v>
      </c>
      <c r="I14" s="567">
        <v>39</v>
      </c>
      <c r="J14" s="567" t="s">
        <v>327</v>
      </c>
      <c r="K14" s="567" t="s">
        <v>1002</v>
      </c>
      <c r="L14" s="567" t="s">
        <v>1003</v>
      </c>
      <c r="M14" s="567" t="s">
        <v>1004</v>
      </c>
      <c r="N14" s="567" t="s">
        <v>1011</v>
      </c>
      <c r="O14" s="567" t="s">
        <v>1012</v>
      </c>
      <c r="P14" s="567" t="s">
        <v>1007</v>
      </c>
      <c r="Q14" s="567" t="s">
        <v>1008</v>
      </c>
      <c r="R14" s="567">
        <v>80</v>
      </c>
    </row>
    <row r="15" spans="1:18" ht="15" x14ac:dyDescent="0.2">
      <c r="A15" s="567"/>
      <c r="B15" s="567"/>
      <c r="C15" s="567"/>
      <c r="D15" s="569">
        <v>0.33109953703703704</v>
      </c>
      <c r="E15" s="567">
        <v>16696</v>
      </c>
      <c r="F15" s="567" t="s">
        <v>1001</v>
      </c>
      <c r="G15" s="567" t="s">
        <v>326</v>
      </c>
      <c r="H15" s="567">
        <v>0</v>
      </c>
      <c r="I15" s="567">
        <v>39</v>
      </c>
      <c r="J15" s="567" t="s">
        <v>327</v>
      </c>
      <c r="K15" s="567" t="s">
        <v>1002</v>
      </c>
      <c r="L15" s="567" t="s">
        <v>1003</v>
      </c>
      <c r="M15" s="567" t="s">
        <v>1004</v>
      </c>
      <c r="N15" s="567" t="s">
        <v>1011</v>
      </c>
      <c r="O15" s="567" t="s">
        <v>1012</v>
      </c>
      <c r="P15" s="567" t="s">
        <v>1009</v>
      </c>
      <c r="Q15" s="567" t="s">
        <v>1008</v>
      </c>
      <c r="R15" s="567">
        <v>80</v>
      </c>
    </row>
    <row r="16" spans="1:18" ht="15" x14ac:dyDescent="0.2">
      <c r="A16" s="567"/>
      <c r="B16" s="567"/>
      <c r="C16" s="567"/>
      <c r="D16" s="569">
        <v>0.33109953703703704</v>
      </c>
      <c r="E16" s="567">
        <v>0</v>
      </c>
      <c r="F16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6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8" width="7.625" style="568" bestFit="1" customWidth="1"/>
    <col min="9" max="9" width="5" style="568" bestFit="1" customWidth="1"/>
    <col min="10" max="10" width="8.375" style="568" bestFit="1" customWidth="1"/>
    <col min="11" max="11" width="18.75" style="568" bestFit="1" customWidth="1"/>
    <col min="12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4" width="7.625" style="568" bestFit="1" customWidth="1"/>
    <col min="265" max="265" width="5" style="568" bestFit="1" customWidth="1"/>
    <col min="266" max="266" width="8.375" style="568" bestFit="1" customWidth="1"/>
    <col min="267" max="267" width="18.75" style="568" bestFit="1" customWidth="1"/>
    <col min="268" max="269" width="8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20" width="7.625" style="568" bestFit="1" customWidth="1"/>
    <col min="521" max="521" width="5" style="568" bestFit="1" customWidth="1"/>
    <col min="522" max="522" width="8.375" style="568" bestFit="1" customWidth="1"/>
    <col min="523" max="523" width="18.75" style="568" bestFit="1" customWidth="1"/>
    <col min="524" max="525" width="8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6" width="7.625" style="568" bestFit="1" customWidth="1"/>
    <col min="777" max="777" width="5" style="568" bestFit="1" customWidth="1"/>
    <col min="778" max="778" width="8.375" style="568" bestFit="1" customWidth="1"/>
    <col min="779" max="779" width="18.75" style="568" bestFit="1" customWidth="1"/>
    <col min="780" max="781" width="8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2" width="7.625" style="568" bestFit="1" customWidth="1"/>
    <col min="1033" max="1033" width="5" style="568" bestFit="1" customWidth="1"/>
    <col min="1034" max="1034" width="8.375" style="568" bestFit="1" customWidth="1"/>
    <col min="1035" max="1035" width="18.75" style="568" bestFit="1" customWidth="1"/>
    <col min="1036" max="1037" width="8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8" width="7.625" style="568" bestFit="1" customWidth="1"/>
    <col min="1289" max="1289" width="5" style="568" bestFit="1" customWidth="1"/>
    <col min="1290" max="1290" width="8.375" style="568" bestFit="1" customWidth="1"/>
    <col min="1291" max="1291" width="18.75" style="568" bestFit="1" customWidth="1"/>
    <col min="1292" max="1293" width="8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4" width="7.625" style="568" bestFit="1" customWidth="1"/>
    <col min="1545" max="1545" width="5" style="568" bestFit="1" customWidth="1"/>
    <col min="1546" max="1546" width="8.375" style="568" bestFit="1" customWidth="1"/>
    <col min="1547" max="1547" width="18.75" style="568" bestFit="1" customWidth="1"/>
    <col min="1548" max="1549" width="8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800" width="7.625" style="568" bestFit="1" customWidth="1"/>
    <col min="1801" max="1801" width="5" style="568" bestFit="1" customWidth="1"/>
    <col min="1802" max="1802" width="8.375" style="568" bestFit="1" customWidth="1"/>
    <col min="1803" max="1803" width="18.75" style="568" bestFit="1" customWidth="1"/>
    <col min="1804" max="1805" width="8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6" width="7.625" style="568" bestFit="1" customWidth="1"/>
    <col min="2057" max="2057" width="5" style="568" bestFit="1" customWidth="1"/>
    <col min="2058" max="2058" width="8.375" style="568" bestFit="1" customWidth="1"/>
    <col min="2059" max="2059" width="18.75" style="568" bestFit="1" customWidth="1"/>
    <col min="2060" max="2061" width="8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2" width="7.625" style="568" bestFit="1" customWidth="1"/>
    <col min="2313" max="2313" width="5" style="568" bestFit="1" customWidth="1"/>
    <col min="2314" max="2314" width="8.375" style="568" bestFit="1" customWidth="1"/>
    <col min="2315" max="2315" width="18.75" style="568" bestFit="1" customWidth="1"/>
    <col min="2316" max="2317" width="8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8" width="7.625" style="568" bestFit="1" customWidth="1"/>
    <col min="2569" max="2569" width="5" style="568" bestFit="1" customWidth="1"/>
    <col min="2570" max="2570" width="8.375" style="568" bestFit="1" customWidth="1"/>
    <col min="2571" max="2571" width="18.75" style="568" bestFit="1" customWidth="1"/>
    <col min="2572" max="2573" width="8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4" width="7.625" style="568" bestFit="1" customWidth="1"/>
    <col min="2825" max="2825" width="5" style="568" bestFit="1" customWidth="1"/>
    <col min="2826" max="2826" width="8.375" style="568" bestFit="1" customWidth="1"/>
    <col min="2827" max="2827" width="18.75" style="568" bestFit="1" customWidth="1"/>
    <col min="2828" max="2829" width="8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80" width="7.625" style="568" bestFit="1" customWidth="1"/>
    <col min="3081" max="3081" width="5" style="568" bestFit="1" customWidth="1"/>
    <col min="3082" max="3082" width="8.375" style="568" bestFit="1" customWidth="1"/>
    <col min="3083" max="3083" width="18.75" style="568" bestFit="1" customWidth="1"/>
    <col min="3084" max="3085" width="8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6" width="7.625" style="568" bestFit="1" customWidth="1"/>
    <col min="3337" max="3337" width="5" style="568" bestFit="1" customWidth="1"/>
    <col min="3338" max="3338" width="8.375" style="568" bestFit="1" customWidth="1"/>
    <col min="3339" max="3339" width="18.75" style="568" bestFit="1" customWidth="1"/>
    <col min="3340" max="3341" width="8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2" width="7.625" style="568" bestFit="1" customWidth="1"/>
    <col min="3593" max="3593" width="5" style="568" bestFit="1" customWidth="1"/>
    <col min="3594" max="3594" width="8.375" style="568" bestFit="1" customWidth="1"/>
    <col min="3595" max="3595" width="18.75" style="568" bestFit="1" customWidth="1"/>
    <col min="3596" max="3597" width="8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8" width="7.625" style="568" bestFit="1" customWidth="1"/>
    <col min="3849" max="3849" width="5" style="568" bestFit="1" customWidth="1"/>
    <col min="3850" max="3850" width="8.375" style="568" bestFit="1" customWidth="1"/>
    <col min="3851" max="3851" width="18.75" style="568" bestFit="1" customWidth="1"/>
    <col min="3852" max="3853" width="8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4" width="7.625" style="568" bestFit="1" customWidth="1"/>
    <col min="4105" max="4105" width="5" style="568" bestFit="1" customWidth="1"/>
    <col min="4106" max="4106" width="8.375" style="568" bestFit="1" customWidth="1"/>
    <col min="4107" max="4107" width="18.75" style="568" bestFit="1" customWidth="1"/>
    <col min="4108" max="4109" width="8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60" width="7.625" style="568" bestFit="1" customWidth="1"/>
    <col min="4361" max="4361" width="5" style="568" bestFit="1" customWidth="1"/>
    <col min="4362" max="4362" width="8.375" style="568" bestFit="1" customWidth="1"/>
    <col min="4363" max="4363" width="18.75" style="568" bestFit="1" customWidth="1"/>
    <col min="4364" max="4365" width="8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6" width="7.625" style="568" bestFit="1" customWidth="1"/>
    <col min="4617" max="4617" width="5" style="568" bestFit="1" customWidth="1"/>
    <col min="4618" max="4618" width="8.375" style="568" bestFit="1" customWidth="1"/>
    <col min="4619" max="4619" width="18.75" style="568" bestFit="1" customWidth="1"/>
    <col min="4620" max="4621" width="8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2" width="7.625" style="568" bestFit="1" customWidth="1"/>
    <col min="4873" max="4873" width="5" style="568" bestFit="1" customWidth="1"/>
    <col min="4874" max="4874" width="8.375" style="568" bestFit="1" customWidth="1"/>
    <col min="4875" max="4875" width="18.75" style="568" bestFit="1" customWidth="1"/>
    <col min="4876" max="4877" width="8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8" width="7.625" style="568" bestFit="1" customWidth="1"/>
    <col min="5129" max="5129" width="5" style="568" bestFit="1" customWidth="1"/>
    <col min="5130" max="5130" width="8.375" style="568" bestFit="1" customWidth="1"/>
    <col min="5131" max="5131" width="18.75" style="568" bestFit="1" customWidth="1"/>
    <col min="5132" max="5133" width="8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4" width="7.625" style="568" bestFit="1" customWidth="1"/>
    <col min="5385" max="5385" width="5" style="568" bestFit="1" customWidth="1"/>
    <col min="5386" max="5386" width="8.375" style="568" bestFit="1" customWidth="1"/>
    <col min="5387" max="5387" width="18.75" style="568" bestFit="1" customWidth="1"/>
    <col min="5388" max="5389" width="8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40" width="7.625" style="568" bestFit="1" customWidth="1"/>
    <col min="5641" max="5641" width="5" style="568" bestFit="1" customWidth="1"/>
    <col min="5642" max="5642" width="8.375" style="568" bestFit="1" customWidth="1"/>
    <col min="5643" max="5643" width="18.75" style="568" bestFit="1" customWidth="1"/>
    <col min="5644" max="5645" width="8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6" width="7.625" style="568" bestFit="1" customWidth="1"/>
    <col min="5897" max="5897" width="5" style="568" bestFit="1" customWidth="1"/>
    <col min="5898" max="5898" width="8.375" style="568" bestFit="1" customWidth="1"/>
    <col min="5899" max="5899" width="18.75" style="568" bestFit="1" customWidth="1"/>
    <col min="5900" max="5901" width="8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2" width="7.625" style="568" bestFit="1" customWidth="1"/>
    <col min="6153" max="6153" width="5" style="568" bestFit="1" customWidth="1"/>
    <col min="6154" max="6154" width="8.375" style="568" bestFit="1" customWidth="1"/>
    <col min="6155" max="6155" width="18.75" style="568" bestFit="1" customWidth="1"/>
    <col min="6156" max="6157" width="8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8" width="7.625" style="568" bestFit="1" customWidth="1"/>
    <col min="6409" max="6409" width="5" style="568" bestFit="1" customWidth="1"/>
    <col min="6410" max="6410" width="8.375" style="568" bestFit="1" customWidth="1"/>
    <col min="6411" max="6411" width="18.75" style="568" bestFit="1" customWidth="1"/>
    <col min="6412" max="6413" width="8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4" width="7.625" style="568" bestFit="1" customWidth="1"/>
    <col min="6665" max="6665" width="5" style="568" bestFit="1" customWidth="1"/>
    <col min="6666" max="6666" width="8.375" style="568" bestFit="1" customWidth="1"/>
    <col min="6667" max="6667" width="18.75" style="568" bestFit="1" customWidth="1"/>
    <col min="6668" max="6669" width="8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20" width="7.625" style="568" bestFit="1" customWidth="1"/>
    <col min="6921" max="6921" width="5" style="568" bestFit="1" customWidth="1"/>
    <col min="6922" max="6922" width="8.375" style="568" bestFit="1" customWidth="1"/>
    <col min="6923" max="6923" width="18.75" style="568" bestFit="1" customWidth="1"/>
    <col min="6924" max="6925" width="8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6" width="7.625" style="568" bestFit="1" customWidth="1"/>
    <col min="7177" max="7177" width="5" style="568" bestFit="1" customWidth="1"/>
    <col min="7178" max="7178" width="8.375" style="568" bestFit="1" customWidth="1"/>
    <col min="7179" max="7179" width="18.75" style="568" bestFit="1" customWidth="1"/>
    <col min="7180" max="7181" width="8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2" width="7.625" style="568" bestFit="1" customWidth="1"/>
    <col min="7433" max="7433" width="5" style="568" bestFit="1" customWidth="1"/>
    <col min="7434" max="7434" width="8.375" style="568" bestFit="1" customWidth="1"/>
    <col min="7435" max="7435" width="18.75" style="568" bestFit="1" customWidth="1"/>
    <col min="7436" max="7437" width="8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8" width="7.625" style="568" bestFit="1" customWidth="1"/>
    <col min="7689" max="7689" width="5" style="568" bestFit="1" customWidth="1"/>
    <col min="7690" max="7690" width="8.375" style="568" bestFit="1" customWidth="1"/>
    <col min="7691" max="7691" width="18.75" style="568" bestFit="1" customWidth="1"/>
    <col min="7692" max="7693" width="8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4" width="7.625" style="568" bestFit="1" customWidth="1"/>
    <col min="7945" max="7945" width="5" style="568" bestFit="1" customWidth="1"/>
    <col min="7946" max="7946" width="8.375" style="568" bestFit="1" customWidth="1"/>
    <col min="7947" max="7947" width="18.75" style="568" bestFit="1" customWidth="1"/>
    <col min="7948" max="7949" width="8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200" width="7.625" style="568" bestFit="1" customWidth="1"/>
    <col min="8201" max="8201" width="5" style="568" bestFit="1" customWidth="1"/>
    <col min="8202" max="8202" width="8.375" style="568" bestFit="1" customWidth="1"/>
    <col min="8203" max="8203" width="18.75" style="568" bestFit="1" customWidth="1"/>
    <col min="8204" max="8205" width="8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6" width="7.625" style="568" bestFit="1" customWidth="1"/>
    <col min="8457" max="8457" width="5" style="568" bestFit="1" customWidth="1"/>
    <col min="8458" max="8458" width="8.375" style="568" bestFit="1" customWidth="1"/>
    <col min="8459" max="8459" width="18.75" style="568" bestFit="1" customWidth="1"/>
    <col min="8460" max="8461" width="8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2" width="7.625" style="568" bestFit="1" customWidth="1"/>
    <col min="8713" max="8713" width="5" style="568" bestFit="1" customWidth="1"/>
    <col min="8714" max="8714" width="8.375" style="568" bestFit="1" customWidth="1"/>
    <col min="8715" max="8715" width="18.75" style="568" bestFit="1" customWidth="1"/>
    <col min="8716" max="8717" width="8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8" width="7.625" style="568" bestFit="1" customWidth="1"/>
    <col min="8969" max="8969" width="5" style="568" bestFit="1" customWidth="1"/>
    <col min="8970" max="8970" width="8.375" style="568" bestFit="1" customWidth="1"/>
    <col min="8971" max="8971" width="18.75" style="568" bestFit="1" customWidth="1"/>
    <col min="8972" max="8973" width="8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4" width="7.625" style="568" bestFit="1" customWidth="1"/>
    <col min="9225" max="9225" width="5" style="568" bestFit="1" customWidth="1"/>
    <col min="9226" max="9226" width="8.375" style="568" bestFit="1" customWidth="1"/>
    <col min="9227" max="9227" width="18.75" style="568" bestFit="1" customWidth="1"/>
    <col min="9228" max="9229" width="8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80" width="7.625" style="568" bestFit="1" customWidth="1"/>
    <col min="9481" max="9481" width="5" style="568" bestFit="1" customWidth="1"/>
    <col min="9482" max="9482" width="8.375" style="568" bestFit="1" customWidth="1"/>
    <col min="9483" max="9483" width="18.75" style="568" bestFit="1" customWidth="1"/>
    <col min="9484" max="9485" width="8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6" width="7.625" style="568" bestFit="1" customWidth="1"/>
    <col min="9737" max="9737" width="5" style="568" bestFit="1" customWidth="1"/>
    <col min="9738" max="9738" width="8.375" style="568" bestFit="1" customWidth="1"/>
    <col min="9739" max="9739" width="18.75" style="568" bestFit="1" customWidth="1"/>
    <col min="9740" max="9741" width="8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2" width="7.625" style="568" bestFit="1" customWidth="1"/>
    <col min="9993" max="9993" width="5" style="568" bestFit="1" customWidth="1"/>
    <col min="9994" max="9994" width="8.375" style="568" bestFit="1" customWidth="1"/>
    <col min="9995" max="9995" width="18.75" style="568" bestFit="1" customWidth="1"/>
    <col min="9996" max="9997" width="8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8" width="7.625" style="568" bestFit="1" customWidth="1"/>
    <col min="10249" max="10249" width="5" style="568" bestFit="1" customWidth="1"/>
    <col min="10250" max="10250" width="8.375" style="568" bestFit="1" customWidth="1"/>
    <col min="10251" max="10251" width="18.75" style="568" bestFit="1" customWidth="1"/>
    <col min="10252" max="10253" width="8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4" width="7.625" style="568" bestFit="1" customWidth="1"/>
    <col min="10505" max="10505" width="5" style="568" bestFit="1" customWidth="1"/>
    <col min="10506" max="10506" width="8.375" style="568" bestFit="1" customWidth="1"/>
    <col min="10507" max="10507" width="18.75" style="568" bestFit="1" customWidth="1"/>
    <col min="10508" max="10509" width="8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60" width="7.625" style="568" bestFit="1" customWidth="1"/>
    <col min="10761" max="10761" width="5" style="568" bestFit="1" customWidth="1"/>
    <col min="10762" max="10762" width="8.375" style="568" bestFit="1" customWidth="1"/>
    <col min="10763" max="10763" width="18.75" style="568" bestFit="1" customWidth="1"/>
    <col min="10764" max="10765" width="8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6" width="7.625" style="568" bestFit="1" customWidth="1"/>
    <col min="11017" max="11017" width="5" style="568" bestFit="1" customWidth="1"/>
    <col min="11018" max="11018" width="8.375" style="568" bestFit="1" customWidth="1"/>
    <col min="11019" max="11019" width="18.75" style="568" bestFit="1" customWidth="1"/>
    <col min="11020" max="11021" width="8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2" width="7.625" style="568" bestFit="1" customWidth="1"/>
    <col min="11273" max="11273" width="5" style="568" bestFit="1" customWidth="1"/>
    <col min="11274" max="11274" width="8.375" style="568" bestFit="1" customWidth="1"/>
    <col min="11275" max="11275" width="18.75" style="568" bestFit="1" customWidth="1"/>
    <col min="11276" max="11277" width="8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8" width="7.625" style="568" bestFit="1" customWidth="1"/>
    <col min="11529" max="11529" width="5" style="568" bestFit="1" customWidth="1"/>
    <col min="11530" max="11530" width="8.375" style="568" bestFit="1" customWidth="1"/>
    <col min="11531" max="11531" width="18.75" style="568" bestFit="1" customWidth="1"/>
    <col min="11532" max="11533" width="8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4" width="7.625" style="568" bestFit="1" customWidth="1"/>
    <col min="11785" max="11785" width="5" style="568" bestFit="1" customWidth="1"/>
    <col min="11786" max="11786" width="8.375" style="568" bestFit="1" customWidth="1"/>
    <col min="11787" max="11787" width="18.75" style="568" bestFit="1" customWidth="1"/>
    <col min="11788" max="11789" width="8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40" width="7.625" style="568" bestFit="1" customWidth="1"/>
    <col min="12041" max="12041" width="5" style="568" bestFit="1" customWidth="1"/>
    <col min="12042" max="12042" width="8.375" style="568" bestFit="1" customWidth="1"/>
    <col min="12043" max="12043" width="18.75" style="568" bestFit="1" customWidth="1"/>
    <col min="12044" max="12045" width="8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6" width="7.625" style="568" bestFit="1" customWidth="1"/>
    <col min="12297" max="12297" width="5" style="568" bestFit="1" customWidth="1"/>
    <col min="12298" max="12298" width="8.375" style="568" bestFit="1" customWidth="1"/>
    <col min="12299" max="12299" width="18.75" style="568" bestFit="1" customWidth="1"/>
    <col min="12300" max="12301" width="8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2" width="7.625" style="568" bestFit="1" customWidth="1"/>
    <col min="12553" max="12553" width="5" style="568" bestFit="1" customWidth="1"/>
    <col min="12554" max="12554" width="8.375" style="568" bestFit="1" customWidth="1"/>
    <col min="12555" max="12555" width="18.75" style="568" bestFit="1" customWidth="1"/>
    <col min="12556" max="12557" width="8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8" width="7.625" style="568" bestFit="1" customWidth="1"/>
    <col min="12809" max="12809" width="5" style="568" bestFit="1" customWidth="1"/>
    <col min="12810" max="12810" width="8.375" style="568" bestFit="1" customWidth="1"/>
    <col min="12811" max="12811" width="18.75" style="568" bestFit="1" customWidth="1"/>
    <col min="12812" max="12813" width="8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4" width="7.625" style="568" bestFit="1" customWidth="1"/>
    <col min="13065" max="13065" width="5" style="568" bestFit="1" customWidth="1"/>
    <col min="13066" max="13066" width="8.375" style="568" bestFit="1" customWidth="1"/>
    <col min="13067" max="13067" width="18.75" style="568" bestFit="1" customWidth="1"/>
    <col min="13068" max="13069" width="8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20" width="7.625" style="568" bestFit="1" customWidth="1"/>
    <col min="13321" max="13321" width="5" style="568" bestFit="1" customWidth="1"/>
    <col min="13322" max="13322" width="8.375" style="568" bestFit="1" customWidth="1"/>
    <col min="13323" max="13323" width="18.75" style="568" bestFit="1" customWidth="1"/>
    <col min="13324" max="13325" width="8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6" width="7.625" style="568" bestFit="1" customWidth="1"/>
    <col min="13577" max="13577" width="5" style="568" bestFit="1" customWidth="1"/>
    <col min="13578" max="13578" width="8.375" style="568" bestFit="1" customWidth="1"/>
    <col min="13579" max="13579" width="18.75" style="568" bestFit="1" customWidth="1"/>
    <col min="13580" max="13581" width="8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2" width="7.625" style="568" bestFit="1" customWidth="1"/>
    <col min="13833" max="13833" width="5" style="568" bestFit="1" customWidth="1"/>
    <col min="13834" max="13834" width="8.375" style="568" bestFit="1" customWidth="1"/>
    <col min="13835" max="13835" width="18.75" style="568" bestFit="1" customWidth="1"/>
    <col min="13836" max="13837" width="8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8" width="7.625" style="568" bestFit="1" customWidth="1"/>
    <col min="14089" max="14089" width="5" style="568" bestFit="1" customWidth="1"/>
    <col min="14090" max="14090" width="8.375" style="568" bestFit="1" customWidth="1"/>
    <col min="14091" max="14091" width="18.75" style="568" bestFit="1" customWidth="1"/>
    <col min="14092" max="14093" width="8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4" width="7.625" style="568" bestFit="1" customWidth="1"/>
    <col min="14345" max="14345" width="5" style="568" bestFit="1" customWidth="1"/>
    <col min="14346" max="14346" width="8.375" style="568" bestFit="1" customWidth="1"/>
    <col min="14347" max="14347" width="18.75" style="568" bestFit="1" customWidth="1"/>
    <col min="14348" max="14349" width="8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600" width="7.625" style="568" bestFit="1" customWidth="1"/>
    <col min="14601" max="14601" width="5" style="568" bestFit="1" customWidth="1"/>
    <col min="14602" max="14602" width="8.375" style="568" bestFit="1" customWidth="1"/>
    <col min="14603" max="14603" width="18.75" style="568" bestFit="1" customWidth="1"/>
    <col min="14604" max="14605" width="8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6" width="7.625" style="568" bestFit="1" customWidth="1"/>
    <col min="14857" max="14857" width="5" style="568" bestFit="1" customWidth="1"/>
    <col min="14858" max="14858" width="8.375" style="568" bestFit="1" customWidth="1"/>
    <col min="14859" max="14859" width="18.75" style="568" bestFit="1" customWidth="1"/>
    <col min="14860" max="14861" width="8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2" width="7.625" style="568" bestFit="1" customWidth="1"/>
    <col min="15113" max="15113" width="5" style="568" bestFit="1" customWidth="1"/>
    <col min="15114" max="15114" width="8.375" style="568" bestFit="1" customWidth="1"/>
    <col min="15115" max="15115" width="18.75" style="568" bestFit="1" customWidth="1"/>
    <col min="15116" max="15117" width="8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8" width="7.625" style="568" bestFit="1" customWidth="1"/>
    <col min="15369" max="15369" width="5" style="568" bestFit="1" customWidth="1"/>
    <col min="15370" max="15370" width="8.375" style="568" bestFit="1" customWidth="1"/>
    <col min="15371" max="15371" width="18.75" style="568" bestFit="1" customWidth="1"/>
    <col min="15372" max="15373" width="8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4" width="7.625" style="568" bestFit="1" customWidth="1"/>
    <col min="15625" max="15625" width="5" style="568" bestFit="1" customWidth="1"/>
    <col min="15626" max="15626" width="8.375" style="568" bestFit="1" customWidth="1"/>
    <col min="15627" max="15627" width="18.75" style="568" bestFit="1" customWidth="1"/>
    <col min="15628" max="15629" width="8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80" width="7.625" style="568" bestFit="1" customWidth="1"/>
    <col min="15881" max="15881" width="5" style="568" bestFit="1" customWidth="1"/>
    <col min="15882" max="15882" width="8.375" style="568" bestFit="1" customWidth="1"/>
    <col min="15883" max="15883" width="18.75" style="568" bestFit="1" customWidth="1"/>
    <col min="15884" max="15885" width="8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6" width="7.625" style="568" bestFit="1" customWidth="1"/>
    <col min="16137" max="16137" width="5" style="568" bestFit="1" customWidth="1"/>
    <col min="16138" max="16138" width="8.375" style="568" bestFit="1" customWidth="1"/>
    <col min="16139" max="16139" width="18.75" style="568" bestFit="1" customWidth="1"/>
    <col min="16140" max="16141" width="8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917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401</v>
      </c>
      <c r="J9" s="567" t="s">
        <v>327</v>
      </c>
      <c r="K9" s="567" t="s">
        <v>1002</v>
      </c>
      <c r="L9" s="567" t="s">
        <v>1003</v>
      </c>
      <c r="M9" s="567" t="s">
        <v>1004</v>
      </c>
      <c r="N9" s="567" t="s">
        <v>1005</v>
      </c>
      <c r="O9" s="567" t="s">
        <v>1006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0.15209490740740741</v>
      </c>
      <c r="E10" s="567">
        <v>105128</v>
      </c>
      <c r="F10" s="567" t="s">
        <v>1001</v>
      </c>
      <c r="G10" s="567" t="s">
        <v>326</v>
      </c>
      <c r="H10" s="567">
        <v>0</v>
      </c>
      <c r="I10" s="567">
        <v>401</v>
      </c>
      <c r="J10" s="567" t="s">
        <v>327</v>
      </c>
      <c r="K10" s="567" t="s">
        <v>1002</v>
      </c>
      <c r="L10" s="567" t="s">
        <v>1003</v>
      </c>
      <c r="M10" s="567" t="s">
        <v>1004</v>
      </c>
      <c r="N10" s="567" t="s">
        <v>1005</v>
      </c>
      <c r="O10" s="567" t="s">
        <v>1006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0.16180555555555556</v>
      </c>
      <c r="E11" s="567">
        <v>6712</v>
      </c>
      <c r="F11" s="567" t="s">
        <v>335</v>
      </c>
      <c r="G11" s="567">
        <v>0</v>
      </c>
      <c r="H11" s="567" t="s">
        <v>326</v>
      </c>
      <c r="I11" s="567" t="s">
        <v>336</v>
      </c>
      <c r="J11" s="567">
        <v>0</v>
      </c>
      <c r="K11" s="567" t="s">
        <v>337</v>
      </c>
      <c r="L11" s="567">
        <v>45</v>
      </c>
      <c r="M11" s="567">
        <v>1</v>
      </c>
    </row>
    <row r="12" spans="1:18" ht="15" x14ac:dyDescent="0.2">
      <c r="A12" s="567"/>
      <c r="B12" s="567"/>
      <c r="C12" s="567"/>
      <c r="D12" s="569">
        <v>0.16527777777777777</v>
      </c>
      <c r="E12" s="567">
        <v>0</v>
      </c>
      <c r="F12" s="567" t="s">
        <v>1001</v>
      </c>
      <c r="G12" s="567" t="s">
        <v>326</v>
      </c>
      <c r="H12" s="567">
        <v>0</v>
      </c>
      <c r="I12" s="567">
        <v>401</v>
      </c>
      <c r="J12" s="567" t="s">
        <v>327</v>
      </c>
      <c r="K12" s="567" t="s">
        <v>1002</v>
      </c>
      <c r="L12" s="567" t="s">
        <v>1003</v>
      </c>
      <c r="M12" s="567" t="s">
        <v>1004</v>
      </c>
      <c r="N12" s="567" t="s">
        <v>1011</v>
      </c>
      <c r="O12" s="567" t="s">
        <v>1012</v>
      </c>
      <c r="P12" s="567" t="s">
        <v>1007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0.19305555555555554</v>
      </c>
      <c r="E13" s="567">
        <v>19200</v>
      </c>
      <c r="F13" s="567" t="s">
        <v>1001</v>
      </c>
      <c r="G13" s="567" t="s">
        <v>326</v>
      </c>
      <c r="H13" s="567">
        <v>0</v>
      </c>
      <c r="I13" s="567">
        <v>97</v>
      </c>
      <c r="J13" s="567" t="s">
        <v>327</v>
      </c>
      <c r="K13" s="567" t="s">
        <v>1002</v>
      </c>
      <c r="L13" s="567" t="s">
        <v>1003</v>
      </c>
      <c r="M13" s="567" t="s">
        <v>1004</v>
      </c>
      <c r="N13" s="567" t="s">
        <v>1011</v>
      </c>
      <c r="O13" s="567" t="s">
        <v>1012</v>
      </c>
      <c r="P13" s="567" t="s">
        <v>1007</v>
      </c>
      <c r="Q13" s="567" t="s">
        <v>1008</v>
      </c>
      <c r="R13" s="567">
        <v>80</v>
      </c>
    </row>
    <row r="14" spans="1:18" ht="15" x14ac:dyDescent="0.2">
      <c r="A14" s="567"/>
      <c r="B14" s="567"/>
      <c r="C14" s="567"/>
      <c r="D14" s="569">
        <v>0.31186342592592592</v>
      </c>
      <c r="E14" s="567">
        <v>82120</v>
      </c>
      <c r="F14" s="567" t="s">
        <v>1001</v>
      </c>
      <c r="G14" s="567" t="s">
        <v>326</v>
      </c>
      <c r="H14" s="567">
        <v>0</v>
      </c>
      <c r="I14" s="567">
        <v>97</v>
      </c>
      <c r="J14" s="567" t="s">
        <v>327</v>
      </c>
      <c r="K14" s="567" t="s">
        <v>1002</v>
      </c>
      <c r="L14" s="567" t="s">
        <v>1003</v>
      </c>
      <c r="M14" s="567" t="s">
        <v>1004</v>
      </c>
      <c r="N14" s="567" t="s">
        <v>1011</v>
      </c>
      <c r="O14" s="567" t="s">
        <v>1012</v>
      </c>
      <c r="P14" s="567" t="s">
        <v>1009</v>
      </c>
      <c r="Q14" s="567" t="s">
        <v>1008</v>
      </c>
      <c r="R14" s="567">
        <v>80</v>
      </c>
    </row>
    <row r="15" spans="1:18" ht="15" x14ac:dyDescent="0.2">
      <c r="A15" s="567"/>
      <c r="B15" s="567"/>
      <c r="C15" s="567"/>
      <c r="D15" s="569">
        <v>0.31944444444444448</v>
      </c>
      <c r="E15" s="567">
        <v>5240</v>
      </c>
      <c r="F15" s="567" t="s">
        <v>1001</v>
      </c>
      <c r="G15" s="567" t="s">
        <v>326</v>
      </c>
      <c r="H15" s="567">
        <v>0</v>
      </c>
      <c r="I15" s="567">
        <v>401</v>
      </c>
      <c r="J15" s="567" t="s">
        <v>327</v>
      </c>
      <c r="K15" s="567" t="s">
        <v>1002</v>
      </c>
      <c r="L15" s="567" t="s">
        <v>1003</v>
      </c>
      <c r="M15" s="567" t="s">
        <v>1004</v>
      </c>
      <c r="N15" s="567" t="s">
        <v>1011</v>
      </c>
      <c r="O15" s="567" t="s">
        <v>1012</v>
      </c>
      <c r="P15" s="567" t="s">
        <v>1009</v>
      </c>
      <c r="Q15" s="567" t="s">
        <v>1008</v>
      </c>
      <c r="R15" s="567">
        <v>80</v>
      </c>
    </row>
    <row r="16" spans="1:18" ht="15" x14ac:dyDescent="0.2">
      <c r="A16" s="567"/>
      <c r="B16" s="567"/>
      <c r="C16" s="567"/>
      <c r="D16" s="569">
        <v>0.31944444444444448</v>
      </c>
      <c r="E16" s="567">
        <v>0</v>
      </c>
      <c r="F16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8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8" width="7.625" style="568" bestFit="1" customWidth="1"/>
    <col min="9" max="9" width="5" style="568" bestFit="1" customWidth="1"/>
    <col min="10" max="10" width="8.375" style="568" bestFit="1" customWidth="1"/>
    <col min="11" max="11" width="18.75" style="568" bestFit="1" customWidth="1"/>
    <col min="12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4" width="7.625" style="568" bestFit="1" customWidth="1"/>
    <col min="265" max="265" width="5" style="568" bestFit="1" customWidth="1"/>
    <col min="266" max="266" width="8.375" style="568" bestFit="1" customWidth="1"/>
    <col min="267" max="267" width="18.75" style="568" bestFit="1" customWidth="1"/>
    <col min="268" max="269" width="8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20" width="7.625" style="568" bestFit="1" customWidth="1"/>
    <col min="521" max="521" width="5" style="568" bestFit="1" customWidth="1"/>
    <col min="522" max="522" width="8.375" style="568" bestFit="1" customWidth="1"/>
    <col min="523" max="523" width="18.75" style="568" bestFit="1" customWidth="1"/>
    <col min="524" max="525" width="8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6" width="7.625" style="568" bestFit="1" customWidth="1"/>
    <col min="777" max="777" width="5" style="568" bestFit="1" customWidth="1"/>
    <col min="778" max="778" width="8.375" style="568" bestFit="1" customWidth="1"/>
    <col min="779" max="779" width="18.75" style="568" bestFit="1" customWidth="1"/>
    <col min="780" max="781" width="8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2" width="7.625" style="568" bestFit="1" customWidth="1"/>
    <col min="1033" max="1033" width="5" style="568" bestFit="1" customWidth="1"/>
    <col min="1034" max="1034" width="8.375" style="568" bestFit="1" customWidth="1"/>
    <col min="1035" max="1035" width="18.75" style="568" bestFit="1" customWidth="1"/>
    <col min="1036" max="1037" width="8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8" width="7.625" style="568" bestFit="1" customWidth="1"/>
    <col min="1289" max="1289" width="5" style="568" bestFit="1" customWidth="1"/>
    <col min="1290" max="1290" width="8.375" style="568" bestFit="1" customWidth="1"/>
    <col min="1291" max="1291" width="18.75" style="568" bestFit="1" customWidth="1"/>
    <col min="1292" max="1293" width="8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4" width="7.625" style="568" bestFit="1" customWidth="1"/>
    <col min="1545" max="1545" width="5" style="568" bestFit="1" customWidth="1"/>
    <col min="1546" max="1546" width="8.375" style="568" bestFit="1" customWidth="1"/>
    <col min="1547" max="1547" width="18.75" style="568" bestFit="1" customWidth="1"/>
    <col min="1548" max="1549" width="8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800" width="7.625" style="568" bestFit="1" customWidth="1"/>
    <col min="1801" max="1801" width="5" style="568" bestFit="1" customWidth="1"/>
    <col min="1802" max="1802" width="8.375" style="568" bestFit="1" customWidth="1"/>
    <col min="1803" max="1803" width="18.75" style="568" bestFit="1" customWidth="1"/>
    <col min="1804" max="1805" width="8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6" width="7.625" style="568" bestFit="1" customWidth="1"/>
    <col min="2057" max="2057" width="5" style="568" bestFit="1" customWidth="1"/>
    <col min="2058" max="2058" width="8.375" style="568" bestFit="1" customWidth="1"/>
    <col min="2059" max="2059" width="18.75" style="568" bestFit="1" customWidth="1"/>
    <col min="2060" max="2061" width="8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2" width="7.625" style="568" bestFit="1" customWidth="1"/>
    <col min="2313" max="2313" width="5" style="568" bestFit="1" customWidth="1"/>
    <col min="2314" max="2314" width="8.375" style="568" bestFit="1" customWidth="1"/>
    <col min="2315" max="2315" width="18.75" style="568" bestFit="1" customWidth="1"/>
    <col min="2316" max="2317" width="8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8" width="7.625" style="568" bestFit="1" customWidth="1"/>
    <col min="2569" max="2569" width="5" style="568" bestFit="1" customWidth="1"/>
    <col min="2570" max="2570" width="8.375" style="568" bestFit="1" customWidth="1"/>
    <col min="2571" max="2571" width="18.75" style="568" bestFit="1" customWidth="1"/>
    <col min="2572" max="2573" width="8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4" width="7.625" style="568" bestFit="1" customWidth="1"/>
    <col min="2825" max="2825" width="5" style="568" bestFit="1" customWidth="1"/>
    <col min="2826" max="2826" width="8.375" style="568" bestFit="1" customWidth="1"/>
    <col min="2827" max="2827" width="18.75" style="568" bestFit="1" customWidth="1"/>
    <col min="2828" max="2829" width="8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80" width="7.625" style="568" bestFit="1" customWidth="1"/>
    <col min="3081" max="3081" width="5" style="568" bestFit="1" customWidth="1"/>
    <col min="3082" max="3082" width="8.375" style="568" bestFit="1" customWidth="1"/>
    <col min="3083" max="3083" width="18.75" style="568" bestFit="1" customWidth="1"/>
    <col min="3084" max="3085" width="8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6" width="7.625" style="568" bestFit="1" customWidth="1"/>
    <col min="3337" max="3337" width="5" style="568" bestFit="1" customWidth="1"/>
    <col min="3338" max="3338" width="8.375" style="568" bestFit="1" customWidth="1"/>
    <col min="3339" max="3339" width="18.75" style="568" bestFit="1" customWidth="1"/>
    <col min="3340" max="3341" width="8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2" width="7.625" style="568" bestFit="1" customWidth="1"/>
    <col min="3593" max="3593" width="5" style="568" bestFit="1" customWidth="1"/>
    <col min="3594" max="3594" width="8.375" style="568" bestFit="1" customWidth="1"/>
    <col min="3595" max="3595" width="18.75" style="568" bestFit="1" customWidth="1"/>
    <col min="3596" max="3597" width="8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8" width="7.625" style="568" bestFit="1" customWidth="1"/>
    <col min="3849" max="3849" width="5" style="568" bestFit="1" customWidth="1"/>
    <col min="3850" max="3850" width="8.375" style="568" bestFit="1" customWidth="1"/>
    <col min="3851" max="3851" width="18.75" style="568" bestFit="1" customWidth="1"/>
    <col min="3852" max="3853" width="8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4" width="7.625" style="568" bestFit="1" customWidth="1"/>
    <col min="4105" max="4105" width="5" style="568" bestFit="1" customWidth="1"/>
    <col min="4106" max="4106" width="8.375" style="568" bestFit="1" customWidth="1"/>
    <col min="4107" max="4107" width="18.75" style="568" bestFit="1" customWidth="1"/>
    <col min="4108" max="4109" width="8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60" width="7.625" style="568" bestFit="1" customWidth="1"/>
    <col min="4361" max="4361" width="5" style="568" bestFit="1" customWidth="1"/>
    <col min="4362" max="4362" width="8.375" style="568" bestFit="1" customWidth="1"/>
    <col min="4363" max="4363" width="18.75" style="568" bestFit="1" customWidth="1"/>
    <col min="4364" max="4365" width="8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6" width="7.625" style="568" bestFit="1" customWidth="1"/>
    <col min="4617" max="4617" width="5" style="568" bestFit="1" customWidth="1"/>
    <col min="4618" max="4618" width="8.375" style="568" bestFit="1" customWidth="1"/>
    <col min="4619" max="4619" width="18.75" style="568" bestFit="1" customWidth="1"/>
    <col min="4620" max="4621" width="8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2" width="7.625" style="568" bestFit="1" customWidth="1"/>
    <col min="4873" max="4873" width="5" style="568" bestFit="1" customWidth="1"/>
    <col min="4874" max="4874" width="8.375" style="568" bestFit="1" customWidth="1"/>
    <col min="4875" max="4875" width="18.75" style="568" bestFit="1" customWidth="1"/>
    <col min="4876" max="4877" width="8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8" width="7.625" style="568" bestFit="1" customWidth="1"/>
    <col min="5129" max="5129" width="5" style="568" bestFit="1" customWidth="1"/>
    <col min="5130" max="5130" width="8.375" style="568" bestFit="1" customWidth="1"/>
    <col min="5131" max="5131" width="18.75" style="568" bestFit="1" customWidth="1"/>
    <col min="5132" max="5133" width="8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4" width="7.625" style="568" bestFit="1" customWidth="1"/>
    <col min="5385" max="5385" width="5" style="568" bestFit="1" customWidth="1"/>
    <col min="5386" max="5386" width="8.375" style="568" bestFit="1" customWidth="1"/>
    <col min="5387" max="5387" width="18.75" style="568" bestFit="1" customWidth="1"/>
    <col min="5388" max="5389" width="8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40" width="7.625" style="568" bestFit="1" customWidth="1"/>
    <col min="5641" max="5641" width="5" style="568" bestFit="1" customWidth="1"/>
    <col min="5642" max="5642" width="8.375" style="568" bestFit="1" customWidth="1"/>
    <col min="5643" max="5643" width="18.75" style="568" bestFit="1" customWidth="1"/>
    <col min="5644" max="5645" width="8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6" width="7.625" style="568" bestFit="1" customWidth="1"/>
    <col min="5897" max="5897" width="5" style="568" bestFit="1" customWidth="1"/>
    <col min="5898" max="5898" width="8.375" style="568" bestFit="1" customWidth="1"/>
    <col min="5899" max="5899" width="18.75" style="568" bestFit="1" customWidth="1"/>
    <col min="5900" max="5901" width="8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2" width="7.625" style="568" bestFit="1" customWidth="1"/>
    <col min="6153" max="6153" width="5" style="568" bestFit="1" customWidth="1"/>
    <col min="6154" max="6154" width="8.375" style="568" bestFit="1" customWidth="1"/>
    <col min="6155" max="6155" width="18.75" style="568" bestFit="1" customWidth="1"/>
    <col min="6156" max="6157" width="8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8" width="7.625" style="568" bestFit="1" customWidth="1"/>
    <col min="6409" max="6409" width="5" style="568" bestFit="1" customWidth="1"/>
    <col min="6410" max="6410" width="8.375" style="568" bestFit="1" customWidth="1"/>
    <col min="6411" max="6411" width="18.75" style="568" bestFit="1" customWidth="1"/>
    <col min="6412" max="6413" width="8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4" width="7.625" style="568" bestFit="1" customWidth="1"/>
    <col min="6665" max="6665" width="5" style="568" bestFit="1" customWidth="1"/>
    <col min="6666" max="6666" width="8.375" style="568" bestFit="1" customWidth="1"/>
    <col min="6667" max="6667" width="18.75" style="568" bestFit="1" customWidth="1"/>
    <col min="6668" max="6669" width="8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20" width="7.625" style="568" bestFit="1" customWidth="1"/>
    <col min="6921" max="6921" width="5" style="568" bestFit="1" customWidth="1"/>
    <col min="6922" max="6922" width="8.375" style="568" bestFit="1" customWidth="1"/>
    <col min="6923" max="6923" width="18.75" style="568" bestFit="1" customWidth="1"/>
    <col min="6924" max="6925" width="8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6" width="7.625" style="568" bestFit="1" customWidth="1"/>
    <col min="7177" max="7177" width="5" style="568" bestFit="1" customWidth="1"/>
    <col min="7178" max="7178" width="8.375" style="568" bestFit="1" customWidth="1"/>
    <col min="7179" max="7179" width="18.75" style="568" bestFit="1" customWidth="1"/>
    <col min="7180" max="7181" width="8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2" width="7.625" style="568" bestFit="1" customWidth="1"/>
    <col min="7433" max="7433" width="5" style="568" bestFit="1" customWidth="1"/>
    <col min="7434" max="7434" width="8.375" style="568" bestFit="1" customWidth="1"/>
    <col min="7435" max="7435" width="18.75" style="568" bestFit="1" customWidth="1"/>
    <col min="7436" max="7437" width="8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8" width="7.625" style="568" bestFit="1" customWidth="1"/>
    <col min="7689" max="7689" width="5" style="568" bestFit="1" customWidth="1"/>
    <col min="7690" max="7690" width="8.375" style="568" bestFit="1" customWidth="1"/>
    <col min="7691" max="7691" width="18.75" style="568" bestFit="1" customWidth="1"/>
    <col min="7692" max="7693" width="8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4" width="7.625" style="568" bestFit="1" customWidth="1"/>
    <col min="7945" max="7945" width="5" style="568" bestFit="1" customWidth="1"/>
    <col min="7946" max="7946" width="8.375" style="568" bestFit="1" customWidth="1"/>
    <col min="7947" max="7947" width="18.75" style="568" bestFit="1" customWidth="1"/>
    <col min="7948" max="7949" width="8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200" width="7.625" style="568" bestFit="1" customWidth="1"/>
    <col min="8201" max="8201" width="5" style="568" bestFit="1" customWidth="1"/>
    <col min="8202" max="8202" width="8.375" style="568" bestFit="1" customWidth="1"/>
    <col min="8203" max="8203" width="18.75" style="568" bestFit="1" customWidth="1"/>
    <col min="8204" max="8205" width="8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6" width="7.625" style="568" bestFit="1" customWidth="1"/>
    <col min="8457" max="8457" width="5" style="568" bestFit="1" customWidth="1"/>
    <col min="8458" max="8458" width="8.375" style="568" bestFit="1" customWidth="1"/>
    <col min="8459" max="8459" width="18.75" style="568" bestFit="1" customWidth="1"/>
    <col min="8460" max="8461" width="8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2" width="7.625" style="568" bestFit="1" customWidth="1"/>
    <col min="8713" max="8713" width="5" style="568" bestFit="1" customWidth="1"/>
    <col min="8714" max="8714" width="8.375" style="568" bestFit="1" customWidth="1"/>
    <col min="8715" max="8715" width="18.75" style="568" bestFit="1" customWidth="1"/>
    <col min="8716" max="8717" width="8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8" width="7.625" style="568" bestFit="1" customWidth="1"/>
    <col min="8969" max="8969" width="5" style="568" bestFit="1" customWidth="1"/>
    <col min="8970" max="8970" width="8.375" style="568" bestFit="1" customWidth="1"/>
    <col min="8971" max="8971" width="18.75" style="568" bestFit="1" customWidth="1"/>
    <col min="8972" max="8973" width="8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4" width="7.625" style="568" bestFit="1" customWidth="1"/>
    <col min="9225" max="9225" width="5" style="568" bestFit="1" customWidth="1"/>
    <col min="9226" max="9226" width="8.375" style="568" bestFit="1" customWidth="1"/>
    <col min="9227" max="9227" width="18.75" style="568" bestFit="1" customWidth="1"/>
    <col min="9228" max="9229" width="8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80" width="7.625" style="568" bestFit="1" customWidth="1"/>
    <col min="9481" max="9481" width="5" style="568" bestFit="1" customWidth="1"/>
    <col min="9482" max="9482" width="8.375" style="568" bestFit="1" customWidth="1"/>
    <col min="9483" max="9483" width="18.75" style="568" bestFit="1" customWidth="1"/>
    <col min="9484" max="9485" width="8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6" width="7.625" style="568" bestFit="1" customWidth="1"/>
    <col min="9737" max="9737" width="5" style="568" bestFit="1" customWidth="1"/>
    <col min="9738" max="9738" width="8.375" style="568" bestFit="1" customWidth="1"/>
    <col min="9739" max="9739" width="18.75" style="568" bestFit="1" customWidth="1"/>
    <col min="9740" max="9741" width="8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2" width="7.625" style="568" bestFit="1" customWidth="1"/>
    <col min="9993" max="9993" width="5" style="568" bestFit="1" customWidth="1"/>
    <col min="9994" max="9994" width="8.375" style="568" bestFit="1" customWidth="1"/>
    <col min="9995" max="9995" width="18.75" style="568" bestFit="1" customWidth="1"/>
    <col min="9996" max="9997" width="8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8" width="7.625" style="568" bestFit="1" customWidth="1"/>
    <col min="10249" max="10249" width="5" style="568" bestFit="1" customWidth="1"/>
    <col min="10250" max="10250" width="8.375" style="568" bestFit="1" customWidth="1"/>
    <col min="10251" max="10251" width="18.75" style="568" bestFit="1" customWidth="1"/>
    <col min="10252" max="10253" width="8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4" width="7.625" style="568" bestFit="1" customWidth="1"/>
    <col min="10505" max="10505" width="5" style="568" bestFit="1" customWidth="1"/>
    <col min="10506" max="10506" width="8.375" style="568" bestFit="1" customWidth="1"/>
    <col min="10507" max="10507" width="18.75" style="568" bestFit="1" customWidth="1"/>
    <col min="10508" max="10509" width="8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60" width="7.625" style="568" bestFit="1" customWidth="1"/>
    <col min="10761" max="10761" width="5" style="568" bestFit="1" customWidth="1"/>
    <col min="10762" max="10762" width="8.375" style="568" bestFit="1" customWidth="1"/>
    <col min="10763" max="10763" width="18.75" style="568" bestFit="1" customWidth="1"/>
    <col min="10764" max="10765" width="8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6" width="7.625" style="568" bestFit="1" customWidth="1"/>
    <col min="11017" max="11017" width="5" style="568" bestFit="1" customWidth="1"/>
    <col min="11018" max="11018" width="8.375" style="568" bestFit="1" customWidth="1"/>
    <col min="11019" max="11019" width="18.75" style="568" bestFit="1" customWidth="1"/>
    <col min="11020" max="11021" width="8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2" width="7.625" style="568" bestFit="1" customWidth="1"/>
    <col min="11273" max="11273" width="5" style="568" bestFit="1" customWidth="1"/>
    <col min="11274" max="11274" width="8.375" style="568" bestFit="1" customWidth="1"/>
    <col min="11275" max="11275" width="18.75" style="568" bestFit="1" customWidth="1"/>
    <col min="11276" max="11277" width="8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8" width="7.625" style="568" bestFit="1" customWidth="1"/>
    <col min="11529" max="11529" width="5" style="568" bestFit="1" customWidth="1"/>
    <col min="11530" max="11530" width="8.375" style="568" bestFit="1" customWidth="1"/>
    <col min="11531" max="11531" width="18.75" style="568" bestFit="1" customWidth="1"/>
    <col min="11532" max="11533" width="8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4" width="7.625" style="568" bestFit="1" customWidth="1"/>
    <col min="11785" max="11785" width="5" style="568" bestFit="1" customWidth="1"/>
    <col min="11786" max="11786" width="8.375" style="568" bestFit="1" customWidth="1"/>
    <col min="11787" max="11787" width="18.75" style="568" bestFit="1" customWidth="1"/>
    <col min="11788" max="11789" width="8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40" width="7.625" style="568" bestFit="1" customWidth="1"/>
    <col min="12041" max="12041" width="5" style="568" bestFit="1" customWidth="1"/>
    <col min="12042" max="12042" width="8.375" style="568" bestFit="1" customWidth="1"/>
    <col min="12043" max="12043" width="18.75" style="568" bestFit="1" customWidth="1"/>
    <col min="12044" max="12045" width="8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6" width="7.625" style="568" bestFit="1" customWidth="1"/>
    <col min="12297" max="12297" width="5" style="568" bestFit="1" customWidth="1"/>
    <col min="12298" max="12298" width="8.375" style="568" bestFit="1" customWidth="1"/>
    <col min="12299" max="12299" width="18.75" style="568" bestFit="1" customWidth="1"/>
    <col min="12300" max="12301" width="8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2" width="7.625" style="568" bestFit="1" customWidth="1"/>
    <col min="12553" max="12553" width="5" style="568" bestFit="1" customWidth="1"/>
    <col min="12554" max="12554" width="8.375" style="568" bestFit="1" customWidth="1"/>
    <col min="12555" max="12555" width="18.75" style="568" bestFit="1" customWidth="1"/>
    <col min="12556" max="12557" width="8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8" width="7.625" style="568" bestFit="1" customWidth="1"/>
    <col min="12809" max="12809" width="5" style="568" bestFit="1" customWidth="1"/>
    <col min="12810" max="12810" width="8.375" style="568" bestFit="1" customWidth="1"/>
    <col min="12811" max="12811" width="18.75" style="568" bestFit="1" customWidth="1"/>
    <col min="12812" max="12813" width="8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4" width="7.625" style="568" bestFit="1" customWidth="1"/>
    <col min="13065" max="13065" width="5" style="568" bestFit="1" customWidth="1"/>
    <col min="13066" max="13066" width="8.375" style="568" bestFit="1" customWidth="1"/>
    <col min="13067" max="13067" width="18.75" style="568" bestFit="1" customWidth="1"/>
    <col min="13068" max="13069" width="8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20" width="7.625" style="568" bestFit="1" customWidth="1"/>
    <col min="13321" max="13321" width="5" style="568" bestFit="1" customWidth="1"/>
    <col min="13322" max="13322" width="8.375" style="568" bestFit="1" customWidth="1"/>
    <col min="13323" max="13323" width="18.75" style="568" bestFit="1" customWidth="1"/>
    <col min="13324" max="13325" width="8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6" width="7.625" style="568" bestFit="1" customWidth="1"/>
    <col min="13577" max="13577" width="5" style="568" bestFit="1" customWidth="1"/>
    <col min="13578" max="13578" width="8.375" style="568" bestFit="1" customWidth="1"/>
    <col min="13579" max="13579" width="18.75" style="568" bestFit="1" customWidth="1"/>
    <col min="13580" max="13581" width="8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2" width="7.625" style="568" bestFit="1" customWidth="1"/>
    <col min="13833" max="13833" width="5" style="568" bestFit="1" customWidth="1"/>
    <col min="13834" max="13834" width="8.375" style="568" bestFit="1" customWidth="1"/>
    <col min="13835" max="13835" width="18.75" style="568" bestFit="1" customWidth="1"/>
    <col min="13836" max="13837" width="8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8" width="7.625" style="568" bestFit="1" customWidth="1"/>
    <col min="14089" max="14089" width="5" style="568" bestFit="1" customWidth="1"/>
    <col min="14090" max="14090" width="8.375" style="568" bestFit="1" customWidth="1"/>
    <col min="14091" max="14091" width="18.75" style="568" bestFit="1" customWidth="1"/>
    <col min="14092" max="14093" width="8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4" width="7.625" style="568" bestFit="1" customWidth="1"/>
    <col min="14345" max="14345" width="5" style="568" bestFit="1" customWidth="1"/>
    <col min="14346" max="14346" width="8.375" style="568" bestFit="1" customWidth="1"/>
    <col min="14347" max="14347" width="18.75" style="568" bestFit="1" customWidth="1"/>
    <col min="14348" max="14349" width="8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600" width="7.625" style="568" bestFit="1" customWidth="1"/>
    <col min="14601" max="14601" width="5" style="568" bestFit="1" customWidth="1"/>
    <col min="14602" max="14602" width="8.375" style="568" bestFit="1" customWidth="1"/>
    <col min="14603" max="14603" width="18.75" style="568" bestFit="1" customWidth="1"/>
    <col min="14604" max="14605" width="8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6" width="7.625" style="568" bestFit="1" customWidth="1"/>
    <col min="14857" max="14857" width="5" style="568" bestFit="1" customWidth="1"/>
    <col min="14858" max="14858" width="8.375" style="568" bestFit="1" customWidth="1"/>
    <col min="14859" max="14859" width="18.75" style="568" bestFit="1" customWidth="1"/>
    <col min="14860" max="14861" width="8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2" width="7.625" style="568" bestFit="1" customWidth="1"/>
    <col min="15113" max="15113" width="5" style="568" bestFit="1" customWidth="1"/>
    <col min="15114" max="15114" width="8.375" style="568" bestFit="1" customWidth="1"/>
    <col min="15115" max="15115" width="18.75" style="568" bestFit="1" customWidth="1"/>
    <col min="15116" max="15117" width="8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8" width="7.625" style="568" bestFit="1" customWidth="1"/>
    <col min="15369" max="15369" width="5" style="568" bestFit="1" customWidth="1"/>
    <col min="15370" max="15370" width="8.375" style="568" bestFit="1" customWidth="1"/>
    <col min="15371" max="15371" width="18.75" style="568" bestFit="1" customWidth="1"/>
    <col min="15372" max="15373" width="8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4" width="7.625" style="568" bestFit="1" customWidth="1"/>
    <col min="15625" max="15625" width="5" style="568" bestFit="1" customWidth="1"/>
    <col min="15626" max="15626" width="8.375" style="568" bestFit="1" customWidth="1"/>
    <col min="15627" max="15627" width="18.75" style="568" bestFit="1" customWidth="1"/>
    <col min="15628" max="15629" width="8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80" width="7.625" style="568" bestFit="1" customWidth="1"/>
    <col min="15881" max="15881" width="5" style="568" bestFit="1" customWidth="1"/>
    <col min="15882" max="15882" width="8.375" style="568" bestFit="1" customWidth="1"/>
    <col min="15883" max="15883" width="18.75" style="568" bestFit="1" customWidth="1"/>
    <col min="15884" max="15885" width="8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6" width="7.625" style="568" bestFit="1" customWidth="1"/>
    <col min="16137" max="16137" width="5" style="568" bestFit="1" customWidth="1"/>
    <col min="16138" max="16138" width="8.375" style="568" bestFit="1" customWidth="1"/>
    <col min="16139" max="16139" width="18.75" style="568" bestFit="1" customWidth="1"/>
    <col min="16140" max="16141" width="8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919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401</v>
      </c>
      <c r="J9" s="567" t="s">
        <v>327</v>
      </c>
      <c r="K9" s="567" t="s">
        <v>1002</v>
      </c>
      <c r="L9" s="567" t="s">
        <v>1003</v>
      </c>
      <c r="M9" s="567" t="s">
        <v>1004</v>
      </c>
      <c r="N9" s="567" t="s">
        <v>1005</v>
      </c>
      <c r="O9" s="567" t="s">
        <v>1006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0.15209490740740741</v>
      </c>
      <c r="E10" s="567">
        <v>105128</v>
      </c>
      <c r="F10" s="567" t="s">
        <v>1001</v>
      </c>
      <c r="G10" s="567" t="s">
        <v>326</v>
      </c>
      <c r="H10" s="567">
        <v>0</v>
      </c>
      <c r="I10" s="567">
        <v>401</v>
      </c>
      <c r="J10" s="567" t="s">
        <v>327</v>
      </c>
      <c r="K10" s="567" t="s">
        <v>1002</v>
      </c>
      <c r="L10" s="567" t="s">
        <v>1003</v>
      </c>
      <c r="M10" s="567" t="s">
        <v>1004</v>
      </c>
      <c r="N10" s="567" t="s">
        <v>1005</v>
      </c>
      <c r="O10" s="567" t="s">
        <v>1006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0.16180555555555556</v>
      </c>
      <c r="E11" s="567">
        <v>6712</v>
      </c>
      <c r="F11" s="567" t="s">
        <v>335</v>
      </c>
      <c r="G11" s="567">
        <v>0</v>
      </c>
      <c r="H11" s="567" t="s">
        <v>326</v>
      </c>
      <c r="I11" s="567" t="s">
        <v>336</v>
      </c>
      <c r="J11" s="567">
        <v>0</v>
      </c>
      <c r="K11" s="567" t="s">
        <v>337</v>
      </c>
      <c r="L11" s="567">
        <v>45</v>
      </c>
      <c r="M11" s="567">
        <v>1</v>
      </c>
    </row>
    <row r="12" spans="1:18" ht="15" x14ac:dyDescent="0.2">
      <c r="A12" s="567"/>
      <c r="B12" s="567"/>
      <c r="C12" s="567"/>
      <c r="D12" s="569">
        <v>0.16527777777777777</v>
      </c>
      <c r="E12" s="567">
        <v>0</v>
      </c>
      <c r="F12" s="567" t="s">
        <v>1001</v>
      </c>
      <c r="G12" s="567" t="s">
        <v>326</v>
      </c>
      <c r="H12" s="567">
        <v>0</v>
      </c>
      <c r="I12" s="567">
        <v>39</v>
      </c>
      <c r="J12" s="567" t="s">
        <v>327</v>
      </c>
      <c r="K12" s="567" t="s">
        <v>1002</v>
      </c>
      <c r="L12" s="567" t="s">
        <v>1003</v>
      </c>
      <c r="M12" s="567" t="s">
        <v>1004</v>
      </c>
      <c r="N12" s="567" t="s">
        <v>1011</v>
      </c>
      <c r="O12" s="567" t="s">
        <v>1012</v>
      </c>
      <c r="P12" s="567" t="s">
        <v>1007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0.1861689814814815</v>
      </c>
      <c r="E13" s="567">
        <v>14440</v>
      </c>
      <c r="F13" s="567" t="s">
        <v>1001</v>
      </c>
      <c r="G13" s="567" t="s">
        <v>326</v>
      </c>
      <c r="H13" s="567">
        <v>0</v>
      </c>
      <c r="I13" s="567">
        <v>39</v>
      </c>
      <c r="J13" s="567" t="s">
        <v>327</v>
      </c>
      <c r="K13" s="567" t="s">
        <v>1002</v>
      </c>
      <c r="L13" s="567" t="s">
        <v>1003</v>
      </c>
      <c r="M13" s="567" t="s">
        <v>1004</v>
      </c>
      <c r="N13" s="567" t="s">
        <v>1011</v>
      </c>
      <c r="O13" s="567" t="s">
        <v>1012</v>
      </c>
      <c r="P13" s="567" t="s">
        <v>1009</v>
      </c>
      <c r="Q13" s="567" t="s">
        <v>1008</v>
      </c>
      <c r="R13" s="567">
        <v>80</v>
      </c>
    </row>
    <row r="14" spans="1:18" ht="15" x14ac:dyDescent="0.2">
      <c r="A14" s="567"/>
      <c r="B14" s="567"/>
      <c r="C14" s="567"/>
      <c r="D14" s="569">
        <v>0.1875</v>
      </c>
      <c r="E14" s="567">
        <v>920</v>
      </c>
      <c r="F14" s="567" t="s">
        <v>1001</v>
      </c>
      <c r="G14" s="567" t="s">
        <v>326</v>
      </c>
      <c r="H14" s="567">
        <v>0</v>
      </c>
      <c r="I14" s="567">
        <v>401</v>
      </c>
      <c r="J14" s="567" t="s">
        <v>327</v>
      </c>
      <c r="K14" s="567" t="s">
        <v>1002</v>
      </c>
      <c r="L14" s="567" t="s">
        <v>1003</v>
      </c>
      <c r="M14" s="567" t="s">
        <v>1004</v>
      </c>
      <c r="N14" s="567" t="s">
        <v>1011</v>
      </c>
      <c r="O14" s="567" t="s">
        <v>1012</v>
      </c>
      <c r="P14" s="567" t="s">
        <v>1007</v>
      </c>
      <c r="Q14" s="567" t="s">
        <v>1008</v>
      </c>
      <c r="R14" s="567">
        <v>80</v>
      </c>
    </row>
    <row r="15" spans="1:18" ht="15" x14ac:dyDescent="0.2">
      <c r="A15" s="567"/>
      <c r="B15" s="567"/>
      <c r="C15" s="567"/>
      <c r="D15" s="569">
        <v>0.40096064814814819</v>
      </c>
      <c r="E15" s="567">
        <v>147544</v>
      </c>
      <c r="F15" s="567" t="s">
        <v>1001</v>
      </c>
      <c r="G15" s="567" t="s">
        <v>326</v>
      </c>
      <c r="H15" s="567">
        <v>0</v>
      </c>
      <c r="I15" s="567">
        <v>401</v>
      </c>
      <c r="J15" s="567" t="s">
        <v>327</v>
      </c>
      <c r="K15" s="567" t="s">
        <v>1002</v>
      </c>
      <c r="L15" s="567" t="s">
        <v>1003</v>
      </c>
      <c r="M15" s="567" t="s">
        <v>1004</v>
      </c>
      <c r="N15" s="567" t="s">
        <v>1011</v>
      </c>
      <c r="O15" s="567" t="s">
        <v>1012</v>
      </c>
      <c r="P15" s="567" t="s">
        <v>1009</v>
      </c>
      <c r="Q15" s="567" t="s">
        <v>1008</v>
      </c>
      <c r="R15" s="567">
        <v>80</v>
      </c>
    </row>
    <row r="16" spans="1:18" ht="15" x14ac:dyDescent="0.2">
      <c r="A16" s="567"/>
      <c r="B16" s="567"/>
      <c r="C16" s="567"/>
      <c r="D16" s="569">
        <v>0.4145833333333333</v>
      </c>
      <c r="E16" s="567">
        <v>9416</v>
      </c>
      <c r="F16" s="567" t="s">
        <v>1001</v>
      </c>
      <c r="G16" s="567" t="s">
        <v>326</v>
      </c>
      <c r="H16" s="567">
        <v>0</v>
      </c>
      <c r="I16" s="567">
        <v>97</v>
      </c>
      <c r="J16" s="567" t="s">
        <v>1010</v>
      </c>
      <c r="K16" s="567" t="s">
        <v>1002</v>
      </c>
      <c r="L16" s="567" t="s">
        <v>1003</v>
      </c>
      <c r="M16" s="567" t="s">
        <v>1004</v>
      </c>
      <c r="N16" s="567" t="s">
        <v>1005</v>
      </c>
      <c r="O16" s="567" t="s">
        <v>1006</v>
      </c>
      <c r="P16" s="567" t="s">
        <v>1007</v>
      </c>
      <c r="Q16" s="567" t="s">
        <v>1008</v>
      </c>
      <c r="R16" s="567">
        <v>80</v>
      </c>
    </row>
    <row r="17" spans="1:18" ht="15" x14ac:dyDescent="0.2">
      <c r="A17" s="567"/>
      <c r="B17" s="567"/>
      <c r="C17" s="567"/>
      <c r="D17" s="569">
        <v>0.46418981481481486</v>
      </c>
      <c r="E17" s="567">
        <v>34288</v>
      </c>
      <c r="F17" s="567" t="s">
        <v>1001</v>
      </c>
      <c r="G17" s="567" t="s">
        <v>326</v>
      </c>
      <c r="H17" s="567">
        <v>0</v>
      </c>
      <c r="I17" s="567">
        <v>97</v>
      </c>
      <c r="J17" s="567" t="s">
        <v>1010</v>
      </c>
      <c r="K17" s="567" t="s">
        <v>1002</v>
      </c>
      <c r="L17" s="567" t="s">
        <v>1003</v>
      </c>
      <c r="M17" s="567" t="s">
        <v>1004</v>
      </c>
      <c r="N17" s="567" t="s">
        <v>1005</v>
      </c>
      <c r="O17" s="567" t="s">
        <v>1006</v>
      </c>
      <c r="P17" s="567" t="s">
        <v>1009</v>
      </c>
      <c r="Q17" s="567" t="s">
        <v>1008</v>
      </c>
      <c r="R17" s="567">
        <v>80</v>
      </c>
    </row>
    <row r="18" spans="1:18" ht="15" x14ac:dyDescent="0.2">
      <c r="A18" s="567"/>
      <c r="B18" s="567"/>
      <c r="C18" s="567"/>
      <c r="D18" s="569">
        <v>0.46418981481481486</v>
      </c>
      <c r="E18" s="567">
        <v>0</v>
      </c>
      <c r="F18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0"/>
  <sheetViews>
    <sheetView workbookViewId="0"/>
  </sheetViews>
  <sheetFormatPr defaultColWidth="9"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7" width="7.625" style="568" bestFit="1" customWidth="1"/>
    <col min="8" max="8" width="2.25" style="568" bestFit="1" customWidth="1"/>
    <col min="9" max="9" width="3.375" style="568" bestFit="1" customWidth="1"/>
    <col min="10" max="10" width="8.375" style="568" bestFit="1" customWidth="1"/>
    <col min="11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16384" width="9" style="568"/>
  </cols>
  <sheetData>
    <row r="2" spans="1:18" ht="15" x14ac:dyDescent="0.2">
      <c r="A2" s="570"/>
      <c r="B2" s="570" t="s">
        <v>320</v>
      </c>
      <c r="C2" s="570">
        <v>926</v>
      </c>
    </row>
    <row r="7" spans="1:18" ht="15" x14ac:dyDescent="0.2">
      <c r="A7" s="570"/>
      <c r="B7" s="570"/>
      <c r="C7" s="570"/>
      <c r="D7" s="570" t="s">
        <v>321</v>
      </c>
      <c r="E7" s="570" t="s">
        <v>322</v>
      </c>
      <c r="F7" s="570" t="s">
        <v>323</v>
      </c>
    </row>
    <row r="9" spans="1:18" ht="15" x14ac:dyDescent="0.2">
      <c r="A9" s="570"/>
      <c r="B9" s="570"/>
      <c r="C9" s="570"/>
      <c r="D9" s="571">
        <v>0</v>
      </c>
      <c r="E9" s="570">
        <v>0</v>
      </c>
      <c r="F9" s="570" t="s">
        <v>1001</v>
      </c>
      <c r="G9" s="570" t="s">
        <v>326</v>
      </c>
      <c r="H9" s="570">
        <v>0</v>
      </c>
      <c r="I9" s="570">
        <v>39</v>
      </c>
      <c r="J9" s="570" t="s">
        <v>327</v>
      </c>
      <c r="K9" s="570" t="s">
        <v>1002</v>
      </c>
      <c r="L9" s="570" t="s">
        <v>1003</v>
      </c>
      <c r="M9" s="570" t="s">
        <v>1004</v>
      </c>
      <c r="N9" s="570" t="s">
        <v>1011</v>
      </c>
      <c r="O9" s="570" t="s">
        <v>1012</v>
      </c>
      <c r="P9" s="570" t="s">
        <v>1009</v>
      </c>
      <c r="Q9" s="570" t="s">
        <v>1008</v>
      </c>
      <c r="R9" s="570">
        <v>80</v>
      </c>
    </row>
    <row r="10" spans="1:18" ht="15" x14ac:dyDescent="0.2">
      <c r="A10" s="570"/>
      <c r="B10" s="570"/>
      <c r="C10" s="570"/>
      <c r="D10" s="571">
        <v>3.472222222222222E-3</v>
      </c>
      <c r="E10" s="570">
        <v>2400</v>
      </c>
      <c r="F10" s="570" t="s">
        <v>1001</v>
      </c>
      <c r="G10" s="570" t="s">
        <v>326</v>
      </c>
      <c r="H10" s="570">
        <v>0</v>
      </c>
      <c r="I10" s="570">
        <v>39</v>
      </c>
      <c r="J10" s="570" t="s">
        <v>327</v>
      </c>
      <c r="K10" s="570" t="s">
        <v>1002</v>
      </c>
      <c r="L10" s="570" t="s">
        <v>1003</v>
      </c>
      <c r="M10" s="570" t="s">
        <v>1004</v>
      </c>
      <c r="N10" s="570" t="s">
        <v>1011</v>
      </c>
      <c r="O10" s="570" t="s">
        <v>1012</v>
      </c>
      <c r="P10" s="570" t="s">
        <v>1007</v>
      </c>
      <c r="Q10" s="570" t="s">
        <v>1008</v>
      </c>
      <c r="R10" s="570">
        <v>80</v>
      </c>
    </row>
    <row r="11" spans="1:18" ht="15" x14ac:dyDescent="0.2">
      <c r="A11" s="570"/>
      <c r="B11" s="570"/>
      <c r="C11" s="570"/>
      <c r="D11" s="571">
        <v>8.6111111111111124E-2</v>
      </c>
      <c r="E11" s="570">
        <v>57120</v>
      </c>
      <c r="F11" s="570" t="s">
        <v>1001</v>
      </c>
      <c r="G11" s="570" t="s">
        <v>326</v>
      </c>
      <c r="H11" s="570">
        <v>0</v>
      </c>
      <c r="I11" s="570">
        <v>39</v>
      </c>
      <c r="J11" s="570" t="s">
        <v>327</v>
      </c>
      <c r="K11" s="570" t="s">
        <v>1002</v>
      </c>
      <c r="L11" s="570" t="s">
        <v>1003</v>
      </c>
      <c r="M11" s="570" t="s">
        <v>1004</v>
      </c>
      <c r="N11" s="570" t="s">
        <v>1011</v>
      </c>
      <c r="O11" s="570" t="s">
        <v>1012</v>
      </c>
      <c r="P11" s="570" t="s">
        <v>1009</v>
      </c>
      <c r="Q11" s="570" t="s">
        <v>1008</v>
      </c>
      <c r="R11" s="570">
        <v>80</v>
      </c>
    </row>
    <row r="12" spans="1:18" ht="15" x14ac:dyDescent="0.2">
      <c r="A12" s="570"/>
      <c r="B12" s="570"/>
      <c r="C12" s="570"/>
      <c r="D12" s="571">
        <v>8.9583333333333334E-2</v>
      </c>
      <c r="E12" s="570">
        <v>2400</v>
      </c>
      <c r="F12" s="570" t="s">
        <v>1001</v>
      </c>
      <c r="G12" s="570" t="s">
        <v>326</v>
      </c>
      <c r="H12" s="570">
        <v>0</v>
      </c>
      <c r="I12" s="570">
        <v>39</v>
      </c>
      <c r="J12" s="570" t="s">
        <v>327</v>
      </c>
      <c r="K12" s="570" t="s">
        <v>1002</v>
      </c>
      <c r="L12" s="570" t="s">
        <v>1003</v>
      </c>
      <c r="M12" s="570" t="s">
        <v>1004</v>
      </c>
      <c r="N12" s="570" t="s">
        <v>1011</v>
      </c>
      <c r="O12" s="570" t="s">
        <v>1012</v>
      </c>
      <c r="P12" s="570" t="s">
        <v>1007</v>
      </c>
      <c r="Q12" s="570" t="s">
        <v>1008</v>
      </c>
      <c r="R12" s="570">
        <v>80</v>
      </c>
    </row>
    <row r="13" spans="1:18" ht="15" x14ac:dyDescent="0.2">
      <c r="A13" s="570"/>
      <c r="B13" s="570"/>
      <c r="C13" s="570"/>
      <c r="D13" s="571">
        <v>0.15763888888888888</v>
      </c>
      <c r="E13" s="570">
        <v>47040</v>
      </c>
      <c r="F13" s="570" t="s">
        <v>1001</v>
      </c>
      <c r="G13" s="570" t="s">
        <v>326</v>
      </c>
      <c r="H13" s="570">
        <v>0</v>
      </c>
      <c r="I13" s="570">
        <v>39</v>
      </c>
      <c r="J13" s="570" t="s">
        <v>327</v>
      </c>
      <c r="K13" s="570" t="s">
        <v>1002</v>
      </c>
      <c r="L13" s="570" t="s">
        <v>1003</v>
      </c>
      <c r="M13" s="570" t="s">
        <v>1004</v>
      </c>
      <c r="N13" s="570" t="s">
        <v>1011</v>
      </c>
      <c r="O13" s="570" t="s">
        <v>1012</v>
      </c>
      <c r="P13" s="570" t="s">
        <v>1009</v>
      </c>
      <c r="Q13" s="570" t="s">
        <v>1008</v>
      </c>
      <c r="R13" s="570">
        <v>80</v>
      </c>
    </row>
    <row r="14" spans="1:18" ht="15" x14ac:dyDescent="0.2">
      <c r="A14" s="570"/>
      <c r="B14" s="570"/>
      <c r="C14" s="570"/>
      <c r="D14" s="571">
        <v>0.16111111111111112</v>
      </c>
      <c r="E14" s="570">
        <v>2400</v>
      </c>
      <c r="F14" s="570" t="s">
        <v>1001</v>
      </c>
      <c r="G14" s="570" t="s">
        <v>326</v>
      </c>
      <c r="H14" s="570">
        <v>0</v>
      </c>
      <c r="I14" s="570">
        <v>39</v>
      </c>
      <c r="J14" s="570" t="s">
        <v>327</v>
      </c>
      <c r="K14" s="570" t="s">
        <v>1002</v>
      </c>
      <c r="L14" s="570" t="s">
        <v>1003</v>
      </c>
      <c r="M14" s="570" t="s">
        <v>1004</v>
      </c>
      <c r="N14" s="570" t="s">
        <v>1011</v>
      </c>
      <c r="O14" s="570" t="s">
        <v>1012</v>
      </c>
      <c r="P14" s="570" t="s">
        <v>1007</v>
      </c>
      <c r="Q14" s="570" t="s">
        <v>1008</v>
      </c>
      <c r="R14" s="570">
        <v>80</v>
      </c>
    </row>
    <row r="15" spans="1:18" ht="15" x14ac:dyDescent="0.2">
      <c r="A15" s="570"/>
      <c r="B15" s="570"/>
      <c r="C15" s="570"/>
      <c r="D15" s="571">
        <v>0.22916666666666666</v>
      </c>
      <c r="E15" s="570">
        <v>47040</v>
      </c>
      <c r="F15" s="570" t="s">
        <v>1001</v>
      </c>
      <c r="G15" s="570" t="s">
        <v>326</v>
      </c>
      <c r="H15" s="570">
        <v>0</v>
      </c>
      <c r="I15" s="570">
        <v>39</v>
      </c>
      <c r="J15" s="570" t="s">
        <v>327</v>
      </c>
      <c r="K15" s="570" t="s">
        <v>1002</v>
      </c>
      <c r="L15" s="570" t="s">
        <v>1003</v>
      </c>
      <c r="M15" s="570" t="s">
        <v>1004</v>
      </c>
      <c r="N15" s="570" t="s">
        <v>1011</v>
      </c>
      <c r="O15" s="570" t="s">
        <v>1012</v>
      </c>
      <c r="P15" s="570" t="s">
        <v>1009</v>
      </c>
      <c r="Q15" s="570" t="s">
        <v>1008</v>
      </c>
      <c r="R15" s="570">
        <v>80</v>
      </c>
    </row>
    <row r="16" spans="1:18" ht="15" x14ac:dyDescent="0.2">
      <c r="A16" s="570"/>
      <c r="B16" s="570"/>
      <c r="C16" s="570"/>
      <c r="D16" s="571">
        <v>0.23263888888888887</v>
      </c>
      <c r="E16" s="570">
        <v>2400</v>
      </c>
      <c r="F16" s="570" t="s">
        <v>1001</v>
      </c>
      <c r="G16" s="570" t="s">
        <v>326</v>
      </c>
      <c r="H16" s="570">
        <v>0</v>
      </c>
      <c r="I16" s="570">
        <v>39</v>
      </c>
      <c r="J16" s="570" t="s">
        <v>327</v>
      </c>
      <c r="K16" s="570" t="s">
        <v>1002</v>
      </c>
      <c r="L16" s="570" t="s">
        <v>1003</v>
      </c>
      <c r="M16" s="570" t="s">
        <v>1004</v>
      </c>
      <c r="N16" s="570" t="s">
        <v>1011</v>
      </c>
      <c r="O16" s="570" t="s">
        <v>1012</v>
      </c>
      <c r="P16" s="570" t="s">
        <v>1007</v>
      </c>
      <c r="Q16" s="570" t="s">
        <v>1008</v>
      </c>
      <c r="R16" s="570">
        <v>80</v>
      </c>
    </row>
    <row r="17" spans="1:18" ht="15" x14ac:dyDescent="0.2">
      <c r="A17" s="570"/>
      <c r="B17" s="570"/>
      <c r="C17" s="570"/>
      <c r="D17" s="571">
        <v>0.30069444444444443</v>
      </c>
      <c r="E17" s="570">
        <v>47040</v>
      </c>
      <c r="F17" s="570" t="s">
        <v>1001</v>
      </c>
      <c r="G17" s="570" t="s">
        <v>326</v>
      </c>
      <c r="H17" s="570">
        <v>0</v>
      </c>
      <c r="I17" s="570">
        <v>39</v>
      </c>
      <c r="J17" s="570" t="s">
        <v>327</v>
      </c>
      <c r="K17" s="570" t="s">
        <v>1002</v>
      </c>
      <c r="L17" s="570" t="s">
        <v>1003</v>
      </c>
      <c r="M17" s="570" t="s">
        <v>1004</v>
      </c>
      <c r="N17" s="570" t="s">
        <v>1011</v>
      </c>
      <c r="O17" s="570" t="s">
        <v>1012</v>
      </c>
      <c r="P17" s="570" t="s">
        <v>1009</v>
      </c>
      <c r="Q17" s="570" t="s">
        <v>1008</v>
      </c>
      <c r="R17" s="570">
        <v>80</v>
      </c>
    </row>
    <row r="18" spans="1:18" ht="15" x14ac:dyDescent="0.2">
      <c r="A18" s="570"/>
      <c r="B18" s="570"/>
      <c r="C18" s="570"/>
      <c r="D18" s="571">
        <v>0.30416666666666664</v>
      </c>
      <c r="E18" s="570">
        <v>2400</v>
      </c>
      <c r="F18" s="570" t="s">
        <v>1001</v>
      </c>
      <c r="G18" s="570" t="s">
        <v>326</v>
      </c>
      <c r="H18" s="570">
        <v>0</v>
      </c>
      <c r="I18" s="570">
        <v>39</v>
      </c>
      <c r="J18" s="570" t="s">
        <v>327</v>
      </c>
      <c r="K18" s="570" t="s">
        <v>1002</v>
      </c>
      <c r="L18" s="570" t="s">
        <v>1003</v>
      </c>
      <c r="M18" s="570" t="s">
        <v>1004</v>
      </c>
      <c r="N18" s="570" t="s">
        <v>1011</v>
      </c>
      <c r="O18" s="570" t="s">
        <v>1012</v>
      </c>
      <c r="P18" s="570" t="s">
        <v>1007</v>
      </c>
      <c r="Q18" s="570" t="s">
        <v>1008</v>
      </c>
      <c r="R18" s="570">
        <v>80</v>
      </c>
    </row>
    <row r="19" spans="1:18" ht="15" x14ac:dyDescent="0.2">
      <c r="A19" s="570"/>
      <c r="B19" s="570"/>
      <c r="C19" s="570"/>
      <c r="D19" s="571">
        <v>0.35975694444444445</v>
      </c>
      <c r="E19" s="570">
        <v>38424</v>
      </c>
      <c r="F19" s="570" t="s">
        <v>1001</v>
      </c>
      <c r="G19" s="570" t="s">
        <v>326</v>
      </c>
      <c r="H19" s="570">
        <v>0</v>
      </c>
      <c r="I19" s="570">
        <v>39</v>
      </c>
      <c r="J19" s="570" t="s">
        <v>327</v>
      </c>
      <c r="K19" s="570" t="s">
        <v>1002</v>
      </c>
      <c r="L19" s="570" t="s">
        <v>1003</v>
      </c>
      <c r="M19" s="570" t="s">
        <v>1004</v>
      </c>
      <c r="N19" s="570" t="s">
        <v>1011</v>
      </c>
      <c r="O19" s="570" t="s">
        <v>1012</v>
      </c>
      <c r="P19" s="570" t="s">
        <v>1009</v>
      </c>
      <c r="Q19" s="570" t="s">
        <v>1008</v>
      </c>
      <c r="R19" s="570">
        <v>80</v>
      </c>
    </row>
    <row r="20" spans="1:18" ht="15" x14ac:dyDescent="0.2">
      <c r="A20" s="570"/>
      <c r="B20" s="570"/>
      <c r="C20" s="570"/>
      <c r="D20" s="571">
        <v>0.35975694444444445</v>
      </c>
      <c r="E20" s="570">
        <v>0</v>
      </c>
      <c r="F20" s="570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3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7" width="7.625" style="568" bestFit="1" customWidth="1"/>
    <col min="8" max="8" width="2.25" style="568" bestFit="1" customWidth="1"/>
    <col min="9" max="9" width="3.375" style="568" bestFit="1" customWidth="1"/>
    <col min="10" max="10" width="8.375" style="568" bestFit="1" customWidth="1"/>
    <col min="11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3" width="7.625" style="568" bestFit="1" customWidth="1"/>
    <col min="264" max="264" width="2.25" style="568" bestFit="1" customWidth="1"/>
    <col min="265" max="265" width="3.375" style="568" bestFit="1" customWidth="1"/>
    <col min="266" max="266" width="8.375" style="568" bestFit="1" customWidth="1"/>
    <col min="267" max="269" width="8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19" width="7.625" style="568" bestFit="1" customWidth="1"/>
    <col min="520" max="520" width="2.25" style="568" bestFit="1" customWidth="1"/>
    <col min="521" max="521" width="3.375" style="568" bestFit="1" customWidth="1"/>
    <col min="522" max="522" width="8.375" style="568" bestFit="1" customWidth="1"/>
    <col min="523" max="525" width="8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5" width="7.625" style="568" bestFit="1" customWidth="1"/>
    <col min="776" max="776" width="2.25" style="568" bestFit="1" customWidth="1"/>
    <col min="777" max="777" width="3.375" style="568" bestFit="1" customWidth="1"/>
    <col min="778" max="778" width="8.375" style="568" bestFit="1" customWidth="1"/>
    <col min="779" max="781" width="8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1" width="7.625" style="568" bestFit="1" customWidth="1"/>
    <col min="1032" max="1032" width="2.25" style="568" bestFit="1" customWidth="1"/>
    <col min="1033" max="1033" width="3.375" style="568" bestFit="1" customWidth="1"/>
    <col min="1034" max="1034" width="8.375" style="568" bestFit="1" customWidth="1"/>
    <col min="1035" max="1037" width="8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7" width="7.625" style="568" bestFit="1" customWidth="1"/>
    <col min="1288" max="1288" width="2.25" style="568" bestFit="1" customWidth="1"/>
    <col min="1289" max="1289" width="3.375" style="568" bestFit="1" customWidth="1"/>
    <col min="1290" max="1290" width="8.375" style="568" bestFit="1" customWidth="1"/>
    <col min="1291" max="1293" width="8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3" width="7.625" style="568" bestFit="1" customWidth="1"/>
    <col min="1544" max="1544" width="2.25" style="568" bestFit="1" customWidth="1"/>
    <col min="1545" max="1545" width="3.375" style="568" bestFit="1" customWidth="1"/>
    <col min="1546" max="1546" width="8.375" style="568" bestFit="1" customWidth="1"/>
    <col min="1547" max="1549" width="8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799" width="7.625" style="568" bestFit="1" customWidth="1"/>
    <col min="1800" max="1800" width="2.25" style="568" bestFit="1" customWidth="1"/>
    <col min="1801" max="1801" width="3.375" style="568" bestFit="1" customWidth="1"/>
    <col min="1802" max="1802" width="8.375" style="568" bestFit="1" customWidth="1"/>
    <col min="1803" max="1805" width="8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5" width="7.625" style="568" bestFit="1" customWidth="1"/>
    <col min="2056" max="2056" width="2.25" style="568" bestFit="1" customWidth="1"/>
    <col min="2057" max="2057" width="3.375" style="568" bestFit="1" customWidth="1"/>
    <col min="2058" max="2058" width="8.375" style="568" bestFit="1" customWidth="1"/>
    <col min="2059" max="2061" width="8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1" width="7.625" style="568" bestFit="1" customWidth="1"/>
    <col min="2312" max="2312" width="2.25" style="568" bestFit="1" customWidth="1"/>
    <col min="2313" max="2313" width="3.375" style="568" bestFit="1" customWidth="1"/>
    <col min="2314" max="2314" width="8.375" style="568" bestFit="1" customWidth="1"/>
    <col min="2315" max="2317" width="8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7" width="7.625" style="568" bestFit="1" customWidth="1"/>
    <col min="2568" max="2568" width="2.25" style="568" bestFit="1" customWidth="1"/>
    <col min="2569" max="2569" width="3.375" style="568" bestFit="1" customWidth="1"/>
    <col min="2570" max="2570" width="8.375" style="568" bestFit="1" customWidth="1"/>
    <col min="2571" max="2573" width="8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3" width="7.625" style="568" bestFit="1" customWidth="1"/>
    <col min="2824" max="2824" width="2.25" style="568" bestFit="1" customWidth="1"/>
    <col min="2825" max="2825" width="3.375" style="568" bestFit="1" customWidth="1"/>
    <col min="2826" max="2826" width="8.375" style="568" bestFit="1" customWidth="1"/>
    <col min="2827" max="2829" width="8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79" width="7.625" style="568" bestFit="1" customWidth="1"/>
    <col min="3080" max="3080" width="2.25" style="568" bestFit="1" customWidth="1"/>
    <col min="3081" max="3081" width="3.375" style="568" bestFit="1" customWidth="1"/>
    <col min="3082" max="3082" width="8.375" style="568" bestFit="1" customWidth="1"/>
    <col min="3083" max="3085" width="8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5" width="7.625" style="568" bestFit="1" customWidth="1"/>
    <col min="3336" max="3336" width="2.25" style="568" bestFit="1" customWidth="1"/>
    <col min="3337" max="3337" width="3.375" style="568" bestFit="1" customWidth="1"/>
    <col min="3338" max="3338" width="8.375" style="568" bestFit="1" customWidth="1"/>
    <col min="3339" max="3341" width="8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1" width="7.625" style="568" bestFit="1" customWidth="1"/>
    <col min="3592" max="3592" width="2.25" style="568" bestFit="1" customWidth="1"/>
    <col min="3593" max="3593" width="3.375" style="568" bestFit="1" customWidth="1"/>
    <col min="3594" max="3594" width="8.375" style="568" bestFit="1" customWidth="1"/>
    <col min="3595" max="3597" width="8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7" width="7.625" style="568" bestFit="1" customWidth="1"/>
    <col min="3848" max="3848" width="2.25" style="568" bestFit="1" customWidth="1"/>
    <col min="3849" max="3849" width="3.375" style="568" bestFit="1" customWidth="1"/>
    <col min="3850" max="3850" width="8.375" style="568" bestFit="1" customWidth="1"/>
    <col min="3851" max="3853" width="8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3" width="7.625" style="568" bestFit="1" customWidth="1"/>
    <col min="4104" max="4104" width="2.25" style="568" bestFit="1" customWidth="1"/>
    <col min="4105" max="4105" width="3.375" style="568" bestFit="1" customWidth="1"/>
    <col min="4106" max="4106" width="8.375" style="568" bestFit="1" customWidth="1"/>
    <col min="4107" max="4109" width="8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59" width="7.625" style="568" bestFit="1" customWidth="1"/>
    <col min="4360" max="4360" width="2.25" style="568" bestFit="1" customWidth="1"/>
    <col min="4361" max="4361" width="3.375" style="568" bestFit="1" customWidth="1"/>
    <col min="4362" max="4362" width="8.375" style="568" bestFit="1" customWidth="1"/>
    <col min="4363" max="4365" width="8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5" width="7.625" style="568" bestFit="1" customWidth="1"/>
    <col min="4616" max="4616" width="2.25" style="568" bestFit="1" customWidth="1"/>
    <col min="4617" max="4617" width="3.375" style="568" bestFit="1" customWidth="1"/>
    <col min="4618" max="4618" width="8.375" style="568" bestFit="1" customWidth="1"/>
    <col min="4619" max="4621" width="8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1" width="7.625" style="568" bestFit="1" customWidth="1"/>
    <col min="4872" max="4872" width="2.25" style="568" bestFit="1" customWidth="1"/>
    <col min="4873" max="4873" width="3.375" style="568" bestFit="1" customWidth="1"/>
    <col min="4874" max="4874" width="8.375" style="568" bestFit="1" customWidth="1"/>
    <col min="4875" max="4877" width="8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7" width="7.625" style="568" bestFit="1" customWidth="1"/>
    <col min="5128" max="5128" width="2.25" style="568" bestFit="1" customWidth="1"/>
    <col min="5129" max="5129" width="3.375" style="568" bestFit="1" customWidth="1"/>
    <col min="5130" max="5130" width="8.375" style="568" bestFit="1" customWidth="1"/>
    <col min="5131" max="5133" width="8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3" width="7.625" style="568" bestFit="1" customWidth="1"/>
    <col min="5384" max="5384" width="2.25" style="568" bestFit="1" customWidth="1"/>
    <col min="5385" max="5385" width="3.375" style="568" bestFit="1" customWidth="1"/>
    <col min="5386" max="5386" width="8.375" style="568" bestFit="1" customWidth="1"/>
    <col min="5387" max="5389" width="8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39" width="7.625" style="568" bestFit="1" customWidth="1"/>
    <col min="5640" max="5640" width="2.25" style="568" bestFit="1" customWidth="1"/>
    <col min="5641" max="5641" width="3.375" style="568" bestFit="1" customWidth="1"/>
    <col min="5642" max="5642" width="8.375" style="568" bestFit="1" customWidth="1"/>
    <col min="5643" max="5645" width="8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5" width="7.625" style="568" bestFit="1" customWidth="1"/>
    <col min="5896" max="5896" width="2.25" style="568" bestFit="1" customWidth="1"/>
    <col min="5897" max="5897" width="3.375" style="568" bestFit="1" customWidth="1"/>
    <col min="5898" max="5898" width="8.375" style="568" bestFit="1" customWidth="1"/>
    <col min="5899" max="5901" width="8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1" width="7.625" style="568" bestFit="1" customWidth="1"/>
    <col min="6152" max="6152" width="2.25" style="568" bestFit="1" customWidth="1"/>
    <col min="6153" max="6153" width="3.375" style="568" bestFit="1" customWidth="1"/>
    <col min="6154" max="6154" width="8.375" style="568" bestFit="1" customWidth="1"/>
    <col min="6155" max="6157" width="8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7" width="7.625" style="568" bestFit="1" customWidth="1"/>
    <col min="6408" max="6408" width="2.25" style="568" bestFit="1" customWidth="1"/>
    <col min="6409" max="6409" width="3.375" style="568" bestFit="1" customWidth="1"/>
    <col min="6410" max="6410" width="8.375" style="568" bestFit="1" customWidth="1"/>
    <col min="6411" max="6413" width="8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3" width="7.625" style="568" bestFit="1" customWidth="1"/>
    <col min="6664" max="6664" width="2.25" style="568" bestFit="1" customWidth="1"/>
    <col min="6665" max="6665" width="3.375" style="568" bestFit="1" customWidth="1"/>
    <col min="6666" max="6666" width="8.375" style="568" bestFit="1" customWidth="1"/>
    <col min="6667" max="6669" width="8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19" width="7.625" style="568" bestFit="1" customWidth="1"/>
    <col min="6920" max="6920" width="2.25" style="568" bestFit="1" customWidth="1"/>
    <col min="6921" max="6921" width="3.375" style="568" bestFit="1" customWidth="1"/>
    <col min="6922" max="6922" width="8.375" style="568" bestFit="1" customWidth="1"/>
    <col min="6923" max="6925" width="8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5" width="7.625" style="568" bestFit="1" customWidth="1"/>
    <col min="7176" max="7176" width="2.25" style="568" bestFit="1" customWidth="1"/>
    <col min="7177" max="7177" width="3.375" style="568" bestFit="1" customWidth="1"/>
    <col min="7178" max="7178" width="8.375" style="568" bestFit="1" customWidth="1"/>
    <col min="7179" max="7181" width="8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1" width="7.625" style="568" bestFit="1" customWidth="1"/>
    <col min="7432" max="7432" width="2.25" style="568" bestFit="1" customWidth="1"/>
    <col min="7433" max="7433" width="3.375" style="568" bestFit="1" customWidth="1"/>
    <col min="7434" max="7434" width="8.375" style="568" bestFit="1" customWidth="1"/>
    <col min="7435" max="7437" width="8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7" width="7.625" style="568" bestFit="1" customWidth="1"/>
    <col min="7688" max="7688" width="2.25" style="568" bestFit="1" customWidth="1"/>
    <col min="7689" max="7689" width="3.375" style="568" bestFit="1" customWidth="1"/>
    <col min="7690" max="7690" width="8.375" style="568" bestFit="1" customWidth="1"/>
    <col min="7691" max="7693" width="8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3" width="7.625" style="568" bestFit="1" customWidth="1"/>
    <col min="7944" max="7944" width="2.25" style="568" bestFit="1" customWidth="1"/>
    <col min="7945" max="7945" width="3.375" style="568" bestFit="1" customWidth="1"/>
    <col min="7946" max="7946" width="8.375" style="568" bestFit="1" customWidth="1"/>
    <col min="7947" max="7949" width="8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199" width="7.625" style="568" bestFit="1" customWidth="1"/>
    <col min="8200" max="8200" width="2.25" style="568" bestFit="1" customWidth="1"/>
    <col min="8201" max="8201" width="3.375" style="568" bestFit="1" customWidth="1"/>
    <col min="8202" max="8202" width="8.375" style="568" bestFit="1" customWidth="1"/>
    <col min="8203" max="8205" width="8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5" width="7.625" style="568" bestFit="1" customWidth="1"/>
    <col min="8456" max="8456" width="2.25" style="568" bestFit="1" customWidth="1"/>
    <col min="8457" max="8457" width="3.375" style="568" bestFit="1" customWidth="1"/>
    <col min="8458" max="8458" width="8.375" style="568" bestFit="1" customWidth="1"/>
    <col min="8459" max="8461" width="8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1" width="7.625" style="568" bestFit="1" customWidth="1"/>
    <col min="8712" max="8712" width="2.25" style="568" bestFit="1" customWidth="1"/>
    <col min="8713" max="8713" width="3.375" style="568" bestFit="1" customWidth="1"/>
    <col min="8714" max="8714" width="8.375" style="568" bestFit="1" customWidth="1"/>
    <col min="8715" max="8717" width="8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7" width="7.625" style="568" bestFit="1" customWidth="1"/>
    <col min="8968" max="8968" width="2.25" style="568" bestFit="1" customWidth="1"/>
    <col min="8969" max="8969" width="3.375" style="568" bestFit="1" customWidth="1"/>
    <col min="8970" max="8970" width="8.375" style="568" bestFit="1" customWidth="1"/>
    <col min="8971" max="8973" width="8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3" width="7.625" style="568" bestFit="1" customWidth="1"/>
    <col min="9224" max="9224" width="2.25" style="568" bestFit="1" customWidth="1"/>
    <col min="9225" max="9225" width="3.375" style="568" bestFit="1" customWidth="1"/>
    <col min="9226" max="9226" width="8.375" style="568" bestFit="1" customWidth="1"/>
    <col min="9227" max="9229" width="8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79" width="7.625" style="568" bestFit="1" customWidth="1"/>
    <col min="9480" max="9480" width="2.25" style="568" bestFit="1" customWidth="1"/>
    <col min="9481" max="9481" width="3.375" style="568" bestFit="1" customWidth="1"/>
    <col min="9482" max="9482" width="8.375" style="568" bestFit="1" customWidth="1"/>
    <col min="9483" max="9485" width="8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5" width="7.625" style="568" bestFit="1" customWidth="1"/>
    <col min="9736" max="9736" width="2.25" style="568" bestFit="1" customWidth="1"/>
    <col min="9737" max="9737" width="3.375" style="568" bestFit="1" customWidth="1"/>
    <col min="9738" max="9738" width="8.375" style="568" bestFit="1" customWidth="1"/>
    <col min="9739" max="9741" width="8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1" width="7.625" style="568" bestFit="1" customWidth="1"/>
    <col min="9992" max="9992" width="2.25" style="568" bestFit="1" customWidth="1"/>
    <col min="9993" max="9993" width="3.375" style="568" bestFit="1" customWidth="1"/>
    <col min="9994" max="9994" width="8.375" style="568" bestFit="1" customWidth="1"/>
    <col min="9995" max="9997" width="8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7" width="7.625" style="568" bestFit="1" customWidth="1"/>
    <col min="10248" max="10248" width="2.25" style="568" bestFit="1" customWidth="1"/>
    <col min="10249" max="10249" width="3.375" style="568" bestFit="1" customWidth="1"/>
    <col min="10250" max="10250" width="8.375" style="568" bestFit="1" customWidth="1"/>
    <col min="10251" max="10253" width="8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3" width="7.625" style="568" bestFit="1" customWidth="1"/>
    <col min="10504" max="10504" width="2.25" style="568" bestFit="1" customWidth="1"/>
    <col min="10505" max="10505" width="3.375" style="568" bestFit="1" customWidth="1"/>
    <col min="10506" max="10506" width="8.375" style="568" bestFit="1" customWidth="1"/>
    <col min="10507" max="10509" width="8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59" width="7.625" style="568" bestFit="1" customWidth="1"/>
    <col min="10760" max="10760" width="2.25" style="568" bestFit="1" customWidth="1"/>
    <col min="10761" max="10761" width="3.375" style="568" bestFit="1" customWidth="1"/>
    <col min="10762" max="10762" width="8.375" style="568" bestFit="1" customWidth="1"/>
    <col min="10763" max="10765" width="8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5" width="7.625" style="568" bestFit="1" customWidth="1"/>
    <col min="11016" max="11016" width="2.25" style="568" bestFit="1" customWidth="1"/>
    <col min="11017" max="11017" width="3.375" style="568" bestFit="1" customWidth="1"/>
    <col min="11018" max="11018" width="8.375" style="568" bestFit="1" customWidth="1"/>
    <col min="11019" max="11021" width="8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1" width="7.625" style="568" bestFit="1" customWidth="1"/>
    <col min="11272" max="11272" width="2.25" style="568" bestFit="1" customWidth="1"/>
    <col min="11273" max="11273" width="3.375" style="568" bestFit="1" customWidth="1"/>
    <col min="11274" max="11274" width="8.375" style="568" bestFit="1" customWidth="1"/>
    <col min="11275" max="11277" width="8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7" width="7.625" style="568" bestFit="1" customWidth="1"/>
    <col min="11528" max="11528" width="2.25" style="568" bestFit="1" customWidth="1"/>
    <col min="11529" max="11529" width="3.375" style="568" bestFit="1" customWidth="1"/>
    <col min="11530" max="11530" width="8.375" style="568" bestFit="1" customWidth="1"/>
    <col min="11531" max="11533" width="8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3" width="7.625" style="568" bestFit="1" customWidth="1"/>
    <col min="11784" max="11784" width="2.25" style="568" bestFit="1" customWidth="1"/>
    <col min="11785" max="11785" width="3.375" style="568" bestFit="1" customWidth="1"/>
    <col min="11786" max="11786" width="8.375" style="568" bestFit="1" customWidth="1"/>
    <col min="11787" max="11789" width="8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39" width="7.625" style="568" bestFit="1" customWidth="1"/>
    <col min="12040" max="12040" width="2.25" style="568" bestFit="1" customWidth="1"/>
    <col min="12041" max="12041" width="3.375" style="568" bestFit="1" customWidth="1"/>
    <col min="12042" max="12042" width="8.375" style="568" bestFit="1" customWidth="1"/>
    <col min="12043" max="12045" width="8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5" width="7.625" style="568" bestFit="1" customWidth="1"/>
    <col min="12296" max="12296" width="2.25" style="568" bestFit="1" customWidth="1"/>
    <col min="12297" max="12297" width="3.375" style="568" bestFit="1" customWidth="1"/>
    <col min="12298" max="12298" width="8.375" style="568" bestFit="1" customWidth="1"/>
    <col min="12299" max="12301" width="8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1" width="7.625" style="568" bestFit="1" customWidth="1"/>
    <col min="12552" max="12552" width="2.25" style="568" bestFit="1" customWidth="1"/>
    <col min="12553" max="12553" width="3.375" style="568" bestFit="1" customWidth="1"/>
    <col min="12554" max="12554" width="8.375" style="568" bestFit="1" customWidth="1"/>
    <col min="12555" max="12557" width="8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7" width="7.625" style="568" bestFit="1" customWidth="1"/>
    <col min="12808" max="12808" width="2.25" style="568" bestFit="1" customWidth="1"/>
    <col min="12809" max="12809" width="3.375" style="568" bestFit="1" customWidth="1"/>
    <col min="12810" max="12810" width="8.375" style="568" bestFit="1" customWidth="1"/>
    <col min="12811" max="12813" width="8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3" width="7.625" style="568" bestFit="1" customWidth="1"/>
    <col min="13064" max="13064" width="2.25" style="568" bestFit="1" customWidth="1"/>
    <col min="13065" max="13065" width="3.375" style="568" bestFit="1" customWidth="1"/>
    <col min="13066" max="13066" width="8.375" style="568" bestFit="1" customWidth="1"/>
    <col min="13067" max="13069" width="8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19" width="7.625" style="568" bestFit="1" customWidth="1"/>
    <col min="13320" max="13320" width="2.25" style="568" bestFit="1" customWidth="1"/>
    <col min="13321" max="13321" width="3.375" style="568" bestFit="1" customWidth="1"/>
    <col min="13322" max="13322" width="8.375" style="568" bestFit="1" customWidth="1"/>
    <col min="13323" max="13325" width="8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5" width="7.625" style="568" bestFit="1" customWidth="1"/>
    <col min="13576" max="13576" width="2.25" style="568" bestFit="1" customWidth="1"/>
    <col min="13577" max="13577" width="3.375" style="568" bestFit="1" customWidth="1"/>
    <col min="13578" max="13578" width="8.375" style="568" bestFit="1" customWidth="1"/>
    <col min="13579" max="13581" width="8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1" width="7.625" style="568" bestFit="1" customWidth="1"/>
    <col min="13832" max="13832" width="2.25" style="568" bestFit="1" customWidth="1"/>
    <col min="13833" max="13833" width="3.375" style="568" bestFit="1" customWidth="1"/>
    <col min="13834" max="13834" width="8.375" style="568" bestFit="1" customWidth="1"/>
    <col min="13835" max="13837" width="8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7" width="7.625" style="568" bestFit="1" customWidth="1"/>
    <col min="14088" max="14088" width="2.25" style="568" bestFit="1" customWidth="1"/>
    <col min="14089" max="14089" width="3.375" style="568" bestFit="1" customWidth="1"/>
    <col min="14090" max="14090" width="8.375" style="568" bestFit="1" customWidth="1"/>
    <col min="14091" max="14093" width="8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3" width="7.625" style="568" bestFit="1" customWidth="1"/>
    <col min="14344" max="14344" width="2.25" style="568" bestFit="1" customWidth="1"/>
    <col min="14345" max="14345" width="3.375" style="568" bestFit="1" customWidth="1"/>
    <col min="14346" max="14346" width="8.375" style="568" bestFit="1" customWidth="1"/>
    <col min="14347" max="14349" width="8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599" width="7.625" style="568" bestFit="1" customWidth="1"/>
    <col min="14600" max="14600" width="2.25" style="568" bestFit="1" customWidth="1"/>
    <col min="14601" max="14601" width="3.375" style="568" bestFit="1" customWidth="1"/>
    <col min="14602" max="14602" width="8.375" style="568" bestFit="1" customWidth="1"/>
    <col min="14603" max="14605" width="8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5" width="7.625" style="568" bestFit="1" customWidth="1"/>
    <col min="14856" max="14856" width="2.25" style="568" bestFit="1" customWidth="1"/>
    <col min="14857" max="14857" width="3.375" style="568" bestFit="1" customWidth="1"/>
    <col min="14858" max="14858" width="8.375" style="568" bestFit="1" customWidth="1"/>
    <col min="14859" max="14861" width="8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1" width="7.625" style="568" bestFit="1" customWidth="1"/>
    <col min="15112" max="15112" width="2.25" style="568" bestFit="1" customWidth="1"/>
    <col min="15113" max="15113" width="3.375" style="568" bestFit="1" customWidth="1"/>
    <col min="15114" max="15114" width="8.375" style="568" bestFit="1" customWidth="1"/>
    <col min="15115" max="15117" width="8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7" width="7.625" style="568" bestFit="1" customWidth="1"/>
    <col min="15368" max="15368" width="2.25" style="568" bestFit="1" customWidth="1"/>
    <col min="15369" max="15369" width="3.375" style="568" bestFit="1" customWidth="1"/>
    <col min="15370" max="15370" width="8.375" style="568" bestFit="1" customWidth="1"/>
    <col min="15371" max="15373" width="8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3" width="7.625" style="568" bestFit="1" customWidth="1"/>
    <col min="15624" max="15624" width="2.25" style="568" bestFit="1" customWidth="1"/>
    <col min="15625" max="15625" width="3.375" style="568" bestFit="1" customWidth="1"/>
    <col min="15626" max="15626" width="8.375" style="568" bestFit="1" customWidth="1"/>
    <col min="15627" max="15629" width="8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79" width="7.625" style="568" bestFit="1" customWidth="1"/>
    <col min="15880" max="15880" width="2.25" style="568" bestFit="1" customWidth="1"/>
    <col min="15881" max="15881" width="3.375" style="568" bestFit="1" customWidth="1"/>
    <col min="15882" max="15882" width="8.375" style="568" bestFit="1" customWidth="1"/>
    <col min="15883" max="15885" width="8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5" width="7.625" style="568" bestFit="1" customWidth="1"/>
    <col min="16136" max="16136" width="2.25" style="568" bestFit="1" customWidth="1"/>
    <col min="16137" max="16137" width="3.375" style="568" bestFit="1" customWidth="1"/>
    <col min="16138" max="16138" width="8.375" style="568" bestFit="1" customWidth="1"/>
    <col min="16139" max="16141" width="8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927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97</v>
      </c>
      <c r="J9" s="567" t="s">
        <v>327</v>
      </c>
      <c r="K9" s="567" t="s">
        <v>1002</v>
      </c>
      <c r="L9" s="567" t="s">
        <v>1003</v>
      </c>
      <c r="M9" s="567" t="s">
        <v>1004</v>
      </c>
      <c r="N9" s="567" t="s">
        <v>1013</v>
      </c>
      <c r="O9" s="567" t="s">
        <v>1014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5.8101851851851849E-2</v>
      </c>
      <c r="E10" s="567">
        <v>40160</v>
      </c>
      <c r="F10" s="567" t="s">
        <v>1001</v>
      </c>
      <c r="G10" s="567" t="s">
        <v>326</v>
      </c>
      <c r="H10" s="567">
        <v>0</v>
      </c>
      <c r="I10" s="567">
        <v>97</v>
      </c>
      <c r="J10" s="567" t="s">
        <v>327</v>
      </c>
      <c r="K10" s="567" t="s">
        <v>1002</v>
      </c>
      <c r="L10" s="567" t="s">
        <v>1003</v>
      </c>
      <c r="M10" s="567" t="s">
        <v>1004</v>
      </c>
      <c r="N10" s="567" t="s">
        <v>1013</v>
      </c>
      <c r="O10" s="567" t="s">
        <v>1014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6.1805555555555558E-2</v>
      </c>
      <c r="E11" s="567">
        <v>2560</v>
      </c>
      <c r="F11" s="567" t="s">
        <v>1001</v>
      </c>
      <c r="G11" s="567" t="s">
        <v>326</v>
      </c>
      <c r="H11" s="567">
        <v>0</v>
      </c>
      <c r="I11" s="567">
        <v>39</v>
      </c>
      <c r="J11" s="567" t="s">
        <v>327</v>
      </c>
      <c r="K11" s="567" t="s">
        <v>1002</v>
      </c>
      <c r="L11" s="567" t="s">
        <v>1003</v>
      </c>
      <c r="M11" s="567" t="s">
        <v>1004</v>
      </c>
      <c r="N11" s="567" t="s">
        <v>1011</v>
      </c>
      <c r="O11" s="567" t="s">
        <v>1012</v>
      </c>
      <c r="P11" s="567" t="s">
        <v>1007</v>
      </c>
      <c r="Q11" s="567" t="s">
        <v>1008</v>
      </c>
      <c r="R11" s="567">
        <v>80</v>
      </c>
    </row>
    <row r="12" spans="1:18" ht="15" x14ac:dyDescent="0.2">
      <c r="A12" s="567"/>
      <c r="B12" s="567"/>
      <c r="C12" s="567"/>
      <c r="D12" s="569">
        <v>8.1388888888888886E-2</v>
      </c>
      <c r="E12" s="567">
        <v>13536</v>
      </c>
      <c r="F12" s="567" t="s">
        <v>1001</v>
      </c>
      <c r="G12" s="567" t="s">
        <v>326</v>
      </c>
      <c r="H12" s="567">
        <v>0</v>
      </c>
      <c r="I12" s="567">
        <v>39</v>
      </c>
      <c r="J12" s="567" t="s">
        <v>327</v>
      </c>
      <c r="K12" s="567" t="s">
        <v>1002</v>
      </c>
      <c r="L12" s="567" t="s">
        <v>1003</v>
      </c>
      <c r="M12" s="567" t="s">
        <v>1004</v>
      </c>
      <c r="N12" s="567" t="s">
        <v>1011</v>
      </c>
      <c r="O12" s="567" t="s">
        <v>1012</v>
      </c>
      <c r="P12" s="567" t="s">
        <v>1009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8.1388888888888886E-2</v>
      </c>
      <c r="E13" s="567">
        <v>0</v>
      </c>
      <c r="F13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7" width="7.625" style="568" bestFit="1" customWidth="1"/>
    <col min="8" max="8" width="2.25" style="568" bestFit="1" customWidth="1"/>
    <col min="9" max="9" width="4.375" style="568" bestFit="1" customWidth="1"/>
    <col min="10" max="10" width="8.375" style="568" bestFit="1" customWidth="1"/>
    <col min="11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3" width="7.625" style="568" bestFit="1" customWidth="1"/>
    <col min="264" max="264" width="2.25" style="568" bestFit="1" customWidth="1"/>
    <col min="265" max="265" width="4.375" style="568" bestFit="1" customWidth="1"/>
    <col min="266" max="266" width="8.375" style="568" bestFit="1" customWidth="1"/>
    <col min="267" max="269" width="8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19" width="7.625" style="568" bestFit="1" customWidth="1"/>
    <col min="520" max="520" width="2.25" style="568" bestFit="1" customWidth="1"/>
    <col min="521" max="521" width="4.375" style="568" bestFit="1" customWidth="1"/>
    <col min="522" max="522" width="8.375" style="568" bestFit="1" customWidth="1"/>
    <col min="523" max="525" width="8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5" width="7.625" style="568" bestFit="1" customWidth="1"/>
    <col min="776" max="776" width="2.25" style="568" bestFit="1" customWidth="1"/>
    <col min="777" max="777" width="4.375" style="568" bestFit="1" customWidth="1"/>
    <col min="778" max="778" width="8.375" style="568" bestFit="1" customWidth="1"/>
    <col min="779" max="781" width="8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1" width="7.625" style="568" bestFit="1" customWidth="1"/>
    <col min="1032" max="1032" width="2.25" style="568" bestFit="1" customWidth="1"/>
    <col min="1033" max="1033" width="4.375" style="568" bestFit="1" customWidth="1"/>
    <col min="1034" max="1034" width="8.375" style="568" bestFit="1" customWidth="1"/>
    <col min="1035" max="1037" width="8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7" width="7.625" style="568" bestFit="1" customWidth="1"/>
    <col min="1288" max="1288" width="2.25" style="568" bestFit="1" customWidth="1"/>
    <col min="1289" max="1289" width="4.375" style="568" bestFit="1" customWidth="1"/>
    <col min="1290" max="1290" width="8.375" style="568" bestFit="1" customWidth="1"/>
    <col min="1291" max="1293" width="8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3" width="7.625" style="568" bestFit="1" customWidth="1"/>
    <col min="1544" max="1544" width="2.25" style="568" bestFit="1" customWidth="1"/>
    <col min="1545" max="1545" width="4.375" style="568" bestFit="1" customWidth="1"/>
    <col min="1546" max="1546" width="8.375" style="568" bestFit="1" customWidth="1"/>
    <col min="1547" max="1549" width="8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799" width="7.625" style="568" bestFit="1" customWidth="1"/>
    <col min="1800" max="1800" width="2.25" style="568" bestFit="1" customWidth="1"/>
    <col min="1801" max="1801" width="4.375" style="568" bestFit="1" customWidth="1"/>
    <col min="1802" max="1802" width="8.375" style="568" bestFit="1" customWidth="1"/>
    <col min="1803" max="1805" width="8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5" width="7.625" style="568" bestFit="1" customWidth="1"/>
    <col min="2056" max="2056" width="2.25" style="568" bestFit="1" customWidth="1"/>
    <col min="2057" max="2057" width="4.375" style="568" bestFit="1" customWidth="1"/>
    <col min="2058" max="2058" width="8.375" style="568" bestFit="1" customWidth="1"/>
    <col min="2059" max="2061" width="8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1" width="7.625" style="568" bestFit="1" customWidth="1"/>
    <col min="2312" max="2312" width="2.25" style="568" bestFit="1" customWidth="1"/>
    <col min="2313" max="2313" width="4.375" style="568" bestFit="1" customWidth="1"/>
    <col min="2314" max="2314" width="8.375" style="568" bestFit="1" customWidth="1"/>
    <col min="2315" max="2317" width="8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7" width="7.625" style="568" bestFit="1" customWidth="1"/>
    <col min="2568" max="2568" width="2.25" style="568" bestFit="1" customWidth="1"/>
    <col min="2569" max="2569" width="4.375" style="568" bestFit="1" customWidth="1"/>
    <col min="2570" max="2570" width="8.375" style="568" bestFit="1" customWidth="1"/>
    <col min="2571" max="2573" width="8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3" width="7.625" style="568" bestFit="1" customWidth="1"/>
    <col min="2824" max="2824" width="2.25" style="568" bestFit="1" customWidth="1"/>
    <col min="2825" max="2825" width="4.375" style="568" bestFit="1" customWidth="1"/>
    <col min="2826" max="2826" width="8.375" style="568" bestFit="1" customWidth="1"/>
    <col min="2827" max="2829" width="8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79" width="7.625" style="568" bestFit="1" customWidth="1"/>
    <col min="3080" max="3080" width="2.25" style="568" bestFit="1" customWidth="1"/>
    <col min="3081" max="3081" width="4.375" style="568" bestFit="1" customWidth="1"/>
    <col min="3082" max="3082" width="8.375" style="568" bestFit="1" customWidth="1"/>
    <col min="3083" max="3085" width="8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5" width="7.625" style="568" bestFit="1" customWidth="1"/>
    <col min="3336" max="3336" width="2.25" style="568" bestFit="1" customWidth="1"/>
    <col min="3337" max="3337" width="4.375" style="568" bestFit="1" customWidth="1"/>
    <col min="3338" max="3338" width="8.375" style="568" bestFit="1" customWidth="1"/>
    <col min="3339" max="3341" width="8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1" width="7.625" style="568" bestFit="1" customWidth="1"/>
    <col min="3592" max="3592" width="2.25" style="568" bestFit="1" customWidth="1"/>
    <col min="3593" max="3593" width="4.375" style="568" bestFit="1" customWidth="1"/>
    <col min="3594" max="3594" width="8.375" style="568" bestFit="1" customWidth="1"/>
    <col min="3595" max="3597" width="8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7" width="7.625" style="568" bestFit="1" customWidth="1"/>
    <col min="3848" max="3848" width="2.25" style="568" bestFit="1" customWidth="1"/>
    <col min="3849" max="3849" width="4.375" style="568" bestFit="1" customWidth="1"/>
    <col min="3850" max="3850" width="8.375" style="568" bestFit="1" customWidth="1"/>
    <col min="3851" max="3853" width="8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3" width="7.625" style="568" bestFit="1" customWidth="1"/>
    <col min="4104" max="4104" width="2.25" style="568" bestFit="1" customWidth="1"/>
    <col min="4105" max="4105" width="4.375" style="568" bestFit="1" customWidth="1"/>
    <col min="4106" max="4106" width="8.375" style="568" bestFit="1" customWidth="1"/>
    <col min="4107" max="4109" width="8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59" width="7.625" style="568" bestFit="1" customWidth="1"/>
    <col min="4360" max="4360" width="2.25" style="568" bestFit="1" customWidth="1"/>
    <col min="4361" max="4361" width="4.375" style="568" bestFit="1" customWidth="1"/>
    <col min="4362" max="4362" width="8.375" style="568" bestFit="1" customWidth="1"/>
    <col min="4363" max="4365" width="8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5" width="7.625" style="568" bestFit="1" customWidth="1"/>
    <col min="4616" max="4616" width="2.25" style="568" bestFit="1" customWidth="1"/>
    <col min="4617" max="4617" width="4.375" style="568" bestFit="1" customWidth="1"/>
    <col min="4618" max="4618" width="8.375" style="568" bestFit="1" customWidth="1"/>
    <col min="4619" max="4621" width="8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1" width="7.625" style="568" bestFit="1" customWidth="1"/>
    <col min="4872" max="4872" width="2.25" style="568" bestFit="1" customWidth="1"/>
    <col min="4873" max="4873" width="4.375" style="568" bestFit="1" customWidth="1"/>
    <col min="4874" max="4874" width="8.375" style="568" bestFit="1" customWidth="1"/>
    <col min="4875" max="4877" width="8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7" width="7.625" style="568" bestFit="1" customWidth="1"/>
    <col min="5128" max="5128" width="2.25" style="568" bestFit="1" customWidth="1"/>
    <col min="5129" max="5129" width="4.375" style="568" bestFit="1" customWidth="1"/>
    <col min="5130" max="5130" width="8.375" style="568" bestFit="1" customWidth="1"/>
    <col min="5131" max="5133" width="8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3" width="7.625" style="568" bestFit="1" customWidth="1"/>
    <col min="5384" max="5384" width="2.25" style="568" bestFit="1" customWidth="1"/>
    <col min="5385" max="5385" width="4.375" style="568" bestFit="1" customWidth="1"/>
    <col min="5386" max="5386" width="8.375" style="568" bestFit="1" customWidth="1"/>
    <col min="5387" max="5389" width="8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39" width="7.625" style="568" bestFit="1" customWidth="1"/>
    <col min="5640" max="5640" width="2.25" style="568" bestFit="1" customWidth="1"/>
    <col min="5641" max="5641" width="4.375" style="568" bestFit="1" customWidth="1"/>
    <col min="5642" max="5642" width="8.375" style="568" bestFit="1" customWidth="1"/>
    <col min="5643" max="5645" width="8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5" width="7.625" style="568" bestFit="1" customWidth="1"/>
    <col min="5896" max="5896" width="2.25" style="568" bestFit="1" customWidth="1"/>
    <col min="5897" max="5897" width="4.375" style="568" bestFit="1" customWidth="1"/>
    <col min="5898" max="5898" width="8.375" style="568" bestFit="1" customWidth="1"/>
    <col min="5899" max="5901" width="8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1" width="7.625" style="568" bestFit="1" customWidth="1"/>
    <col min="6152" max="6152" width="2.25" style="568" bestFit="1" customWidth="1"/>
    <col min="6153" max="6153" width="4.375" style="568" bestFit="1" customWidth="1"/>
    <col min="6154" max="6154" width="8.375" style="568" bestFit="1" customWidth="1"/>
    <col min="6155" max="6157" width="8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7" width="7.625" style="568" bestFit="1" customWidth="1"/>
    <col min="6408" max="6408" width="2.25" style="568" bestFit="1" customWidth="1"/>
    <col min="6409" max="6409" width="4.375" style="568" bestFit="1" customWidth="1"/>
    <col min="6410" max="6410" width="8.375" style="568" bestFit="1" customWidth="1"/>
    <col min="6411" max="6413" width="8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3" width="7.625" style="568" bestFit="1" customWidth="1"/>
    <col min="6664" max="6664" width="2.25" style="568" bestFit="1" customWidth="1"/>
    <col min="6665" max="6665" width="4.375" style="568" bestFit="1" customWidth="1"/>
    <col min="6666" max="6666" width="8.375" style="568" bestFit="1" customWidth="1"/>
    <col min="6667" max="6669" width="8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19" width="7.625" style="568" bestFit="1" customWidth="1"/>
    <col min="6920" max="6920" width="2.25" style="568" bestFit="1" customWidth="1"/>
    <col min="6921" max="6921" width="4.375" style="568" bestFit="1" customWidth="1"/>
    <col min="6922" max="6922" width="8.375" style="568" bestFit="1" customWidth="1"/>
    <col min="6923" max="6925" width="8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5" width="7.625" style="568" bestFit="1" customWidth="1"/>
    <col min="7176" max="7176" width="2.25" style="568" bestFit="1" customWidth="1"/>
    <col min="7177" max="7177" width="4.375" style="568" bestFit="1" customWidth="1"/>
    <col min="7178" max="7178" width="8.375" style="568" bestFit="1" customWidth="1"/>
    <col min="7179" max="7181" width="8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1" width="7.625" style="568" bestFit="1" customWidth="1"/>
    <col min="7432" max="7432" width="2.25" style="568" bestFit="1" customWidth="1"/>
    <col min="7433" max="7433" width="4.375" style="568" bestFit="1" customWidth="1"/>
    <col min="7434" max="7434" width="8.375" style="568" bestFit="1" customWidth="1"/>
    <col min="7435" max="7437" width="8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7" width="7.625" style="568" bestFit="1" customWidth="1"/>
    <col min="7688" max="7688" width="2.25" style="568" bestFit="1" customWidth="1"/>
    <col min="7689" max="7689" width="4.375" style="568" bestFit="1" customWidth="1"/>
    <col min="7690" max="7690" width="8.375" style="568" bestFit="1" customWidth="1"/>
    <col min="7691" max="7693" width="8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3" width="7.625" style="568" bestFit="1" customWidth="1"/>
    <col min="7944" max="7944" width="2.25" style="568" bestFit="1" customWidth="1"/>
    <col min="7945" max="7945" width="4.375" style="568" bestFit="1" customWidth="1"/>
    <col min="7946" max="7946" width="8.375" style="568" bestFit="1" customWidth="1"/>
    <col min="7947" max="7949" width="8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199" width="7.625" style="568" bestFit="1" customWidth="1"/>
    <col min="8200" max="8200" width="2.25" style="568" bestFit="1" customWidth="1"/>
    <col min="8201" max="8201" width="4.375" style="568" bestFit="1" customWidth="1"/>
    <col min="8202" max="8202" width="8.375" style="568" bestFit="1" customWidth="1"/>
    <col min="8203" max="8205" width="8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5" width="7.625" style="568" bestFit="1" customWidth="1"/>
    <col min="8456" max="8456" width="2.25" style="568" bestFit="1" customWidth="1"/>
    <col min="8457" max="8457" width="4.375" style="568" bestFit="1" customWidth="1"/>
    <col min="8458" max="8458" width="8.375" style="568" bestFit="1" customWidth="1"/>
    <col min="8459" max="8461" width="8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1" width="7.625" style="568" bestFit="1" customWidth="1"/>
    <col min="8712" max="8712" width="2.25" style="568" bestFit="1" customWidth="1"/>
    <col min="8713" max="8713" width="4.375" style="568" bestFit="1" customWidth="1"/>
    <col min="8714" max="8714" width="8.375" style="568" bestFit="1" customWidth="1"/>
    <col min="8715" max="8717" width="8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7" width="7.625" style="568" bestFit="1" customWidth="1"/>
    <col min="8968" max="8968" width="2.25" style="568" bestFit="1" customWidth="1"/>
    <col min="8969" max="8969" width="4.375" style="568" bestFit="1" customWidth="1"/>
    <col min="8970" max="8970" width="8.375" style="568" bestFit="1" customWidth="1"/>
    <col min="8971" max="8973" width="8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3" width="7.625" style="568" bestFit="1" customWidth="1"/>
    <col min="9224" max="9224" width="2.25" style="568" bestFit="1" customWidth="1"/>
    <col min="9225" max="9225" width="4.375" style="568" bestFit="1" customWidth="1"/>
    <col min="9226" max="9226" width="8.375" style="568" bestFit="1" customWidth="1"/>
    <col min="9227" max="9229" width="8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79" width="7.625" style="568" bestFit="1" customWidth="1"/>
    <col min="9480" max="9480" width="2.25" style="568" bestFit="1" customWidth="1"/>
    <col min="9481" max="9481" width="4.375" style="568" bestFit="1" customWidth="1"/>
    <col min="9482" max="9482" width="8.375" style="568" bestFit="1" customWidth="1"/>
    <col min="9483" max="9485" width="8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5" width="7.625" style="568" bestFit="1" customWidth="1"/>
    <col min="9736" max="9736" width="2.25" style="568" bestFit="1" customWidth="1"/>
    <col min="9737" max="9737" width="4.375" style="568" bestFit="1" customWidth="1"/>
    <col min="9738" max="9738" width="8.375" style="568" bestFit="1" customWidth="1"/>
    <col min="9739" max="9741" width="8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1" width="7.625" style="568" bestFit="1" customWidth="1"/>
    <col min="9992" max="9992" width="2.25" style="568" bestFit="1" customWidth="1"/>
    <col min="9993" max="9993" width="4.375" style="568" bestFit="1" customWidth="1"/>
    <col min="9994" max="9994" width="8.375" style="568" bestFit="1" customWidth="1"/>
    <col min="9995" max="9997" width="8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7" width="7.625" style="568" bestFit="1" customWidth="1"/>
    <col min="10248" max="10248" width="2.25" style="568" bestFit="1" customWidth="1"/>
    <col min="10249" max="10249" width="4.375" style="568" bestFit="1" customWidth="1"/>
    <col min="10250" max="10250" width="8.375" style="568" bestFit="1" customWidth="1"/>
    <col min="10251" max="10253" width="8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3" width="7.625" style="568" bestFit="1" customWidth="1"/>
    <col min="10504" max="10504" width="2.25" style="568" bestFit="1" customWidth="1"/>
    <col min="10505" max="10505" width="4.375" style="568" bestFit="1" customWidth="1"/>
    <col min="10506" max="10506" width="8.375" style="568" bestFit="1" customWidth="1"/>
    <col min="10507" max="10509" width="8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59" width="7.625" style="568" bestFit="1" customWidth="1"/>
    <col min="10760" max="10760" width="2.25" style="568" bestFit="1" customWidth="1"/>
    <col min="10761" max="10761" width="4.375" style="568" bestFit="1" customWidth="1"/>
    <col min="10762" max="10762" width="8.375" style="568" bestFit="1" customWidth="1"/>
    <col min="10763" max="10765" width="8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5" width="7.625" style="568" bestFit="1" customWidth="1"/>
    <col min="11016" max="11016" width="2.25" style="568" bestFit="1" customWidth="1"/>
    <col min="11017" max="11017" width="4.375" style="568" bestFit="1" customWidth="1"/>
    <col min="11018" max="11018" width="8.375" style="568" bestFit="1" customWidth="1"/>
    <col min="11019" max="11021" width="8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1" width="7.625" style="568" bestFit="1" customWidth="1"/>
    <col min="11272" max="11272" width="2.25" style="568" bestFit="1" customWidth="1"/>
    <col min="11273" max="11273" width="4.375" style="568" bestFit="1" customWidth="1"/>
    <col min="11274" max="11274" width="8.375" style="568" bestFit="1" customWidth="1"/>
    <col min="11275" max="11277" width="8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7" width="7.625" style="568" bestFit="1" customWidth="1"/>
    <col min="11528" max="11528" width="2.25" style="568" bestFit="1" customWidth="1"/>
    <col min="11529" max="11529" width="4.375" style="568" bestFit="1" customWidth="1"/>
    <col min="11530" max="11530" width="8.375" style="568" bestFit="1" customWidth="1"/>
    <col min="11531" max="11533" width="8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3" width="7.625" style="568" bestFit="1" customWidth="1"/>
    <col min="11784" max="11784" width="2.25" style="568" bestFit="1" customWidth="1"/>
    <col min="11785" max="11785" width="4.375" style="568" bestFit="1" customWidth="1"/>
    <col min="11786" max="11786" width="8.375" style="568" bestFit="1" customWidth="1"/>
    <col min="11787" max="11789" width="8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39" width="7.625" style="568" bestFit="1" customWidth="1"/>
    <col min="12040" max="12040" width="2.25" style="568" bestFit="1" customWidth="1"/>
    <col min="12041" max="12041" width="4.375" style="568" bestFit="1" customWidth="1"/>
    <col min="12042" max="12042" width="8.375" style="568" bestFit="1" customWidth="1"/>
    <col min="12043" max="12045" width="8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5" width="7.625" style="568" bestFit="1" customWidth="1"/>
    <col min="12296" max="12296" width="2.25" style="568" bestFit="1" customWidth="1"/>
    <col min="12297" max="12297" width="4.375" style="568" bestFit="1" customWidth="1"/>
    <col min="12298" max="12298" width="8.375" style="568" bestFit="1" customWidth="1"/>
    <col min="12299" max="12301" width="8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1" width="7.625" style="568" bestFit="1" customWidth="1"/>
    <col min="12552" max="12552" width="2.25" style="568" bestFit="1" customWidth="1"/>
    <col min="12553" max="12553" width="4.375" style="568" bestFit="1" customWidth="1"/>
    <col min="12554" max="12554" width="8.375" style="568" bestFit="1" customWidth="1"/>
    <col min="12555" max="12557" width="8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7" width="7.625" style="568" bestFit="1" customWidth="1"/>
    <col min="12808" max="12808" width="2.25" style="568" bestFit="1" customWidth="1"/>
    <col min="12809" max="12809" width="4.375" style="568" bestFit="1" customWidth="1"/>
    <col min="12810" max="12810" width="8.375" style="568" bestFit="1" customWidth="1"/>
    <col min="12811" max="12813" width="8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3" width="7.625" style="568" bestFit="1" customWidth="1"/>
    <col min="13064" max="13064" width="2.25" style="568" bestFit="1" customWidth="1"/>
    <col min="13065" max="13065" width="4.375" style="568" bestFit="1" customWidth="1"/>
    <col min="13066" max="13066" width="8.375" style="568" bestFit="1" customWidth="1"/>
    <col min="13067" max="13069" width="8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19" width="7.625" style="568" bestFit="1" customWidth="1"/>
    <col min="13320" max="13320" width="2.25" style="568" bestFit="1" customWidth="1"/>
    <col min="13321" max="13321" width="4.375" style="568" bestFit="1" customWidth="1"/>
    <col min="13322" max="13322" width="8.375" style="568" bestFit="1" customWidth="1"/>
    <col min="13323" max="13325" width="8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5" width="7.625" style="568" bestFit="1" customWidth="1"/>
    <col min="13576" max="13576" width="2.25" style="568" bestFit="1" customWidth="1"/>
    <col min="13577" max="13577" width="4.375" style="568" bestFit="1" customWidth="1"/>
    <col min="13578" max="13578" width="8.375" style="568" bestFit="1" customWidth="1"/>
    <col min="13579" max="13581" width="8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1" width="7.625" style="568" bestFit="1" customWidth="1"/>
    <col min="13832" max="13832" width="2.25" style="568" bestFit="1" customWidth="1"/>
    <col min="13833" max="13833" width="4.375" style="568" bestFit="1" customWidth="1"/>
    <col min="13834" max="13834" width="8.375" style="568" bestFit="1" customWidth="1"/>
    <col min="13835" max="13837" width="8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7" width="7.625" style="568" bestFit="1" customWidth="1"/>
    <col min="14088" max="14088" width="2.25" style="568" bestFit="1" customWidth="1"/>
    <col min="14089" max="14089" width="4.375" style="568" bestFit="1" customWidth="1"/>
    <col min="14090" max="14090" width="8.375" style="568" bestFit="1" customWidth="1"/>
    <col min="14091" max="14093" width="8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3" width="7.625" style="568" bestFit="1" customWidth="1"/>
    <col min="14344" max="14344" width="2.25" style="568" bestFit="1" customWidth="1"/>
    <col min="14345" max="14345" width="4.375" style="568" bestFit="1" customWidth="1"/>
    <col min="14346" max="14346" width="8.375" style="568" bestFit="1" customWidth="1"/>
    <col min="14347" max="14349" width="8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599" width="7.625" style="568" bestFit="1" customWidth="1"/>
    <col min="14600" max="14600" width="2.25" style="568" bestFit="1" customWidth="1"/>
    <col min="14601" max="14601" width="4.375" style="568" bestFit="1" customWidth="1"/>
    <col min="14602" max="14602" width="8.375" style="568" bestFit="1" customWidth="1"/>
    <col min="14603" max="14605" width="8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5" width="7.625" style="568" bestFit="1" customWidth="1"/>
    <col min="14856" max="14856" width="2.25" style="568" bestFit="1" customWidth="1"/>
    <col min="14857" max="14857" width="4.375" style="568" bestFit="1" customWidth="1"/>
    <col min="14858" max="14858" width="8.375" style="568" bestFit="1" customWidth="1"/>
    <col min="14859" max="14861" width="8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1" width="7.625" style="568" bestFit="1" customWidth="1"/>
    <col min="15112" max="15112" width="2.25" style="568" bestFit="1" customWidth="1"/>
    <col min="15113" max="15113" width="4.375" style="568" bestFit="1" customWidth="1"/>
    <col min="15114" max="15114" width="8.375" style="568" bestFit="1" customWidth="1"/>
    <col min="15115" max="15117" width="8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7" width="7.625" style="568" bestFit="1" customWidth="1"/>
    <col min="15368" max="15368" width="2.25" style="568" bestFit="1" customWidth="1"/>
    <col min="15369" max="15369" width="4.375" style="568" bestFit="1" customWidth="1"/>
    <col min="15370" max="15370" width="8.375" style="568" bestFit="1" customWidth="1"/>
    <col min="15371" max="15373" width="8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3" width="7.625" style="568" bestFit="1" customWidth="1"/>
    <col min="15624" max="15624" width="2.25" style="568" bestFit="1" customWidth="1"/>
    <col min="15625" max="15625" width="4.375" style="568" bestFit="1" customWidth="1"/>
    <col min="15626" max="15626" width="8.375" style="568" bestFit="1" customWidth="1"/>
    <col min="15627" max="15629" width="8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79" width="7.625" style="568" bestFit="1" customWidth="1"/>
    <col min="15880" max="15880" width="2.25" style="568" bestFit="1" customWidth="1"/>
    <col min="15881" max="15881" width="4.375" style="568" bestFit="1" customWidth="1"/>
    <col min="15882" max="15882" width="8.375" style="568" bestFit="1" customWidth="1"/>
    <col min="15883" max="15885" width="8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5" width="7.625" style="568" bestFit="1" customWidth="1"/>
    <col min="16136" max="16136" width="2.25" style="568" bestFit="1" customWidth="1"/>
    <col min="16137" max="16137" width="4.375" style="568" bestFit="1" customWidth="1"/>
    <col min="16138" max="16138" width="8.375" style="568" bestFit="1" customWidth="1"/>
    <col min="16139" max="16141" width="8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929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401</v>
      </c>
      <c r="J9" s="567" t="s">
        <v>327</v>
      </c>
      <c r="K9" s="567" t="s">
        <v>1002</v>
      </c>
      <c r="L9" s="567" t="s">
        <v>1003</v>
      </c>
      <c r="M9" s="567" t="s">
        <v>1004</v>
      </c>
      <c r="N9" s="567" t="s">
        <v>1011</v>
      </c>
      <c r="O9" s="567" t="s">
        <v>1012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5.8483796296296298E-2</v>
      </c>
      <c r="E10" s="567">
        <v>40424</v>
      </c>
      <c r="F10" s="567" t="s">
        <v>1001</v>
      </c>
      <c r="G10" s="567" t="s">
        <v>326</v>
      </c>
      <c r="H10" s="567">
        <v>0</v>
      </c>
      <c r="I10" s="567">
        <v>401</v>
      </c>
      <c r="J10" s="567" t="s">
        <v>327</v>
      </c>
      <c r="K10" s="567" t="s">
        <v>1002</v>
      </c>
      <c r="L10" s="567" t="s">
        <v>1003</v>
      </c>
      <c r="M10" s="567" t="s">
        <v>1004</v>
      </c>
      <c r="N10" s="567" t="s">
        <v>1011</v>
      </c>
      <c r="O10" s="567" t="s">
        <v>1012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6.3888888888888884E-2</v>
      </c>
      <c r="E11" s="567">
        <v>3736</v>
      </c>
      <c r="F11" s="567" t="s">
        <v>1001</v>
      </c>
      <c r="G11" s="567" t="s">
        <v>326</v>
      </c>
      <c r="H11" s="567">
        <v>0</v>
      </c>
      <c r="I11" s="567">
        <v>97</v>
      </c>
      <c r="J11" s="567" t="s">
        <v>327</v>
      </c>
      <c r="K11" s="567" t="s">
        <v>1002</v>
      </c>
      <c r="L11" s="567" t="s">
        <v>1003</v>
      </c>
      <c r="M11" s="567" t="s">
        <v>1004</v>
      </c>
      <c r="N11" s="567" t="s">
        <v>1011</v>
      </c>
      <c r="O11" s="567" t="s">
        <v>1012</v>
      </c>
      <c r="P11" s="567" t="s">
        <v>1007</v>
      </c>
      <c r="Q11" s="567" t="s">
        <v>1008</v>
      </c>
      <c r="R11" s="567">
        <v>80</v>
      </c>
    </row>
    <row r="12" spans="1:18" ht="15" x14ac:dyDescent="0.2">
      <c r="A12" s="567"/>
      <c r="B12" s="567"/>
      <c r="C12" s="567"/>
      <c r="D12" s="569">
        <v>9.9791666666666667E-2</v>
      </c>
      <c r="E12" s="567">
        <v>24816</v>
      </c>
      <c r="F12" s="567" t="s">
        <v>1001</v>
      </c>
      <c r="G12" s="567" t="s">
        <v>326</v>
      </c>
      <c r="H12" s="567">
        <v>0</v>
      </c>
      <c r="I12" s="567">
        <v>97</v>
      </c>
      <c r="J12" s="567" t="s">
        <v>327</v>
      </c>
      <c r="K12" s="567" t="s">
        <v>1002</v>
      </c>
      <c r="L12" s="567" t="s">
        <v>1003</v>
      </c>
      <c r="M12" s="567" t="s">
        <v>1004</v>
      </c>
      <c r="N12" s="567" t="s">
        <v>1011</v>
      </c>
      <c r="O12" s="567" t="s">
        <v>1012</v>
      </c>
      <c r="P12" s="567" t="s">
        <v>1009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0.10208333333333335</v>
      </c>
      <c r="E13" s="567">
        <v>1584</v>
      </c>
      <c r="F13" s="567" t="s">
        <v>1001</v>
      </c>
      <c r="G13" s="567" t="s">
        <v>326</v>
      </c>
      <c r="H13" s="567">
        <v>0</v>
      </c>
      <c r="I13" s="567">
        <v>39</v>
      </c>
      <c r="J13" s="567" t="s">
        <v>327</v>
      </c>
      <c r="K13" s="567" t="s">
        <v>1002</v>
      </c>
      <c r="L13" s="567" t="s">
        <v>1003</v>
      </c>
      <c r="M13" s="567" t="s">
        <v>1004</v>
      </c>
      <c r="N13" s="567" t="s">
        <v>1011</v>
      </c>
      <c r="O13" s="567" t="s">
        <v>1012</v>
      </c>
      <c r="P13" s="567" t="s">
        <v>1007</v>
      </c>
      <c r="Q13" s="567" t="s">
        <v>1008</v>
      </c>
      <c r="R13" s="567">
        <v>80</v>
      </c>
    </row>
    <row r="14" spans="1:18" ht="15" x14ac:dyDescent="0.2">
      <c r="A14" s="567"/>
      <c r="B14" s="567"/>
      <c r="C14" s="567"/>
      <c r="D14" s="569">
        <v>0.11840277777777779</v>
      </c>
      <c r="E14" s="567">
        <v>11280</v>
      </c>
      <c r="F14" s="567" t="s">
        <v>1001</v>
      </c>
      <c r="G14" s="567" t="s">
        <v>326</v>
      </c>
      <c r="H14" s="567">
        <v>0</v>
      </c>
      <c r="I14" s="567">
        <v>39</v>
      </c>
      <c r="J14" s="567" t="s">
        <v>327</v>
      </c>
      <c r="K14" s="567" t="s">
        <v>1002</v>
      </c>
      <c r="L14" s="567" t="s">
        <v>1003</v>
      </c>
      <c r="M14" s="567" t="s">
        <v>1004</v>
      </c>
      <c r="N14" s="567" t="s">
        <v>1011</v>
      </c>
      <c r="O14" s="567" t="s">
        <v>1012</v>
      </c>
      <c r="P14" s="567" t="s">
        <v>1009</v>
      </c>
      <c r="Q14" s="567" t="s">
        <v>1008</v>
      </c>
      <c r="R14" s="567">
        <v>80</v>
      </c>
    </row>
    <row r="15" spans="1:18" ht="15" x14ac:dyDescent="0.2">
      <c r="A15" s="567"/>
      <c r="B15" s="567"/>
      <c r="C15" s="567"/>
      <c r="D15" s="569">
        <v>0.11840277777777779</v>
      </c>
      <c r="E15" s="567">
        <v>0</v>
      </c>
      <c r="F15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6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8" width="7.625" style="568" bestFit="1" customWidth="1"/>
    <col min="9" max="9" width="5" style="568" bestFit="1" customWidth="1"/>
    <col min="10" max="10" width="8.375" style="568" bestFit="1" customWidth="1"/>
    <col min="11" max="11" width="18.75" style="568" bestFit="1" customWidth="1"/>
    <col min="12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4" width="7.625" style="568" bestFit="1" customWidth="1"/>
    <col min="265" max="265" width="5" style="568" bestFit="1" customWidth="1"/>
    <col min="266" max="266" width="8.375" style="568" bestFit="1" customWidth="1"/>
    <col min="267" max="267" width="18.75" style="568" bestFit="1" customWidth="1"/>
    <col min="268" max="269" width="8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20" width="7.625" style="568" bestFit="1" customWidth="1"/>
    <col min="521" max="521" width="5" style="568" bestFit="1" customWidth="1"/>
    <col min="522" max="522" width="8.375" style="568" bestFit="1" customWidth="1"/>
    <col min="523" max="523" width="18.75" style="568" bestFit="1" customWidth="1"/>
    <col min="524" max="525" width="8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6" width="7.625" style="568" bestFit="1" customWidth="1"/>
    <col min="777" max="777" width="5" style="568" bestFit="1" customWidth="1"/>
    <col min="778" max="778" width="8.375" style="568" bestFit="1" customWidth="1"/>
    <col min="779" max="779" width="18.75" style="568" bestFit="1" customWidth="1"/>
    <col min="780" max="781" width="8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2" width="7.625" style="568" bestFit="1" customWidth="1"/>
    <col min="1033" max="1033" width="5" style="568" bestFit="1" customWidth="1"/>
    <col min="1034" max="1034" width="8.375" style="568" bestFit="1" customWidth="1"/>
    <col min="1035" max="1035" width="18.75" style="568" bestFit="1" customWidth="1"/>
    <col min="1036" max="1037" width="8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8" width="7.625" style="568" bestFit="1" customWidth="1"/>
    <col min="1289" max="1289" width="5" style="568" bestFit="1" customWidth="1"/>
    <col min="1290" max="1290" width="8.375" style="568" bestFit="1" customWidth="1"/>
    <col min="1291" max="1291" width="18.75" style="568" bestFit="1" customWidth="1"/>
    <col min="1292" max="1293" width="8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4" width="7.625" style="568" bestFit="1" customWidth="1"/>
    <col min="1545" max="1545" width="5" style="568" bestFit="1" customWidth="1"/>
    <col min="1546" max="1546" width="8.375" style="568" bestFit="1" customWidth="1"/>
    <col min="1547" max="1547" width="18.75" style="568" bestFit="1" customWidth="1"/>
    <col min="1548" max="1549" width="8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800" width="7.625" style="568" bestFit="1" customWidth="1"/>
    <col min="1801" max="1801" width="5" style="568" bestFit="1" customWidth="1"/>
    <col min="1802" max="1802" width="8.375" style="568" bestFit="1" customWidth="1"/>
    <col min="1803" max="1803" width="18.75" style="568" bestFit="1" customWidth="1"/>
    <col min="1804" max="1805" width="8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6" width="7.625" style="568" bestFit="1" customWidth="1"/>
    <col min="2057" max="2057" width="5" style="568" bestFit="1" customWidth="1"/>
    <col min="2058" max="2058" width="8.375" style="568" bestFit="1" customWidth="1"/>
    <col min="2059" max="2059" width="18.75" style="568" bestFit="1" customWidth="1"/>
    <col min="2060" max="2061" width="8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2" width="7.625" style="568" bestFit="1" customWidth="1"/>
    <col min="2313" max="2313" width="5" style="568" bestFit="1" customWidth="1"/>
    <col min="2314" max="2314" width="8.375" style="568" bestFit="1" customWidth="1"/>
    <col min="2315" max="2315" width="18.75" style="568" bestFit="1" customWidth="1"/>
    <col min="2316" max="2317" width="8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8" width="7.625" style="568" bestFit="1" customWidth="1"/>
    <col min="2569" max="2569" width="5" style="568" bestFit="1" customWidth="1"/>
    <col min="2570" max="2570" width="8.375" style="568" bestFit="1" customWidth="1"/>
    <col min="2571" max="2571" width="18.75" style="568" bestFit="1" customWidth="1"/>
    <col min="2572" max="2573" width="8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4" width="7.625" style="568" bestFit="1" customWidth="1"/>
    <col min="2825" max="2825" width="5" style="568" bestFit="1" customWidth="1"/>
    <col min="2826" max="2826" width="8.375" style="568" bestFit="1" customWidth="1"/>
    <col min="2827" max="2827" width="18.75" style="568" bestFit="1" customWidth="1"/>
    <col min="2828" max="2829" width="8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80" width="7.625" style="568" bestFit="1" customWidth="1"/>
    <col min="3081" max="3081" width="5" style="568" bestFit="1" customWidth="1"/>
    <col min="3082" max="3082" width="8.375" style="568" bestFit="1" customWidth="1"/>
    <col min="3083" max="3083" width="18.75" style="568" bestFit="1" customWidth="1"/>
    <col min="3084" max="3085" width="8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6" width="7.625" style="568" bestFit="1" customWidth="1"/>
    <col min="3337" max="3337" width="5" style="568" bestFit="1" customWidth="1"/>
    <col min="3338" max="3338" width="8.375" style="568" bestFit="1" customWidth="1"/>
    <col min="3339" max="3339" width="18.75" style="568" bestFit="1" customWidth="1"/>
    <col min="3340" max="3341" width="8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2" width="7.625" style="568" bestFit="1" customWidth="1"/>
    <col min="3593" max="3593" width="5" style="568" bestFit="1" customWidth="1"/>
    <col min="3594" max="3594" width="8.375" style="568" bestFit="1" customWidth="1"/>
    <col min="3595" max="3595" width="18.75" style="568" bestFit="1" customWidth="1"/>
    <col min="3596" max="3597" width="8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8" width="7.625" style="568" bestFit="1" customWidth="1"/>
    <col min="3849" max="3849" width="5" style="568" bestFit="1" customWidth="1"/>
    <col min="3850" max="3850" width="8.375" style="568" bestFit="1" customWidth="1"/>
    <col min="3851" max="3851" width="18.75" style="568" bestFit="1" customWidth="1"/>
    <col min="3852" max="3853" width="8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4" width="7.625" style="568" bestFit="1" customWidth="1"/>
    <col min="4105" max="4105" width="5" style="568" bestFit="1" customWidth="1"/>
    <col min="4106" max="4106" width="8.375" style="568" bestFit="1" customWidth="1"/>
    <col min="4107" max="4107" width="18.75" style="568" bestFit="1" customWidth="1"/>
    <col min="4108" max="4109" width="8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60" width="7.625" style="568" bestFit="1" customWidth="1"/>
    <col min="4361" max="4361" width="5" style="568" bestFit="1" customWidth="1"/>
    <col min="4362" max="4362" width="8.375" style="568" bestFit="1" customWidth="1"/>
    <col min="4363" max="4363" width="18.75" style="568" bestFit="1" customWidth="1"/>
    <col min="4364" max="4365" width="8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6" width="7.625" style="568" bestFit="1" customWidth="1"/>
    <col min="4617" max="4617" width="5" style="568" bestFit="1" customWidth="1"/>
    <col min="4618" max="4618" width="8.375" style="568" bestFit="1" customWidth="1"/>
    <col min="4619" max="4619" width="18.75" style="568" bestFit="1" customWidth="1"/>
    <col min="4620" max="4621" width="8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2" width="7.625" style="568" bestFit="1" customWidth="1"/>
    <col min="4873" max="4873" width="5" style="568" bestFit="1" customWidth="1"/>
    <col min="4874" max="4874" width="8.375" style="568" bestFit="1" customWidth="1"/>
    <col min="4875" max="4875" width="18.75" style="568" bestFit="1" customWidth="1"/>
    <col min="4876" max="4877" width="8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8" width="7.625" style="568" bestFit="1" customWidth="1"/>
    <col min="5129" max="5129" width="5" style="568" bestFit="1" customWidth="1"/>
    <col min="5130" max="5130" width="8.375" style="568" bestFit="1" customWidth="1"/>
    <col min="5131" max="5131" width="18.75" style="568" bestFit="1" customWidth="1"/>
    <col min="5132" max="5133" width="8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4" width="7.625" style="568" bestFit="1" customWidth="1"/>
    <col min="5385" max="5385" width="5" style="568" bestFit="1" customWidth="1"/>
    <col min="5386" max="5386" width="8.375" style="568" bestFit="1" customWidth="1"/>
    <col min="5387" max="5387" width="18.75" style="568" bestFit="1" customWidth="1"/>
    <col min="5388" max="5389" width="8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40" width="7.625" style="568" bestFit="1" customWidth="1"/>
    <col min="5641" max="5641" width="5" style="568" bestFit="1" customWidth="1"/>
    <col min="5642" max="5642" width="8.375" style="568" bestFit="1" customWidth="1"/>
    <col min="5643" max="5643" width="18.75" style="568" bestFit="1" customWidth="1"/>
    <col min="5644" max="5645" width="8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6" width="7.625" style="568" bestFit="1" customWidth="1"/>
    <col min="5897" max="5897" width="5" style="568" bestFit="1" customWidth="1"/>
    <col min="5898" max="5898" width="8.375" style="568" bestFit="1" customWidth="1"/>
    <col min="5899" max="5899" width="18.75" style="568" bestFit="1" customWidth="1"/>
    <col min="5900" max="5901" width="8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2" width="7.625" style="568" bestFit="1" customWidth="1"/>
    <col min="6153" max="6153" width="5" style="568" bestFit="1" customWidth="1"/>
    <col min="6154" max="6154" width="8.375" style="568" bestFit="1" customWidth="1"/>
    <col min="6155" max="6155" width="18.75" style="568" bestFit="1" customWidth="1"/>
    <col min="6156" max="6157" width="8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8" width="7.625" style="568" bestFit="1" customWidth="1"/>
    <col min="6409" max="6409" width="5" style="568" bestFit="1" customWidth="1"/>
    <col min="6410" max="6410" width="8.375" style="568" bestFit="1" customWidth="1"/>
    <col min="6411" max="6411" width="18.75" style="568" bestFit="1" customWidth="1"/>
    <col min="6412" max="6413" width="8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4" width="7.625" style="568" bestFit="1" customWidth="1"/>
    <col min="6665" max="6665" width="5" style="568" bestFit="1" customWidth="1"/>
    <col min="6666" max="6666" width="8.375" style="568" bestFit="1" customWidth="1"/>
    <col min="6667" max="6667" width="18.75" style="568" bestFit="1" customWidth="1"/>
    <col min="6668" max="6669" width="8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20" width="7.625" style="568" bestFit="1" customWidth="1"/>
    <col min="6921" max="6921" width="5" style="568" bestFit="1" customWidth="1"/>
    <col min="6922" max="6922" width="8.375" style="568" bestFit="1" customWidth="1"/>
    <col min="6923" max="6923" width="18.75" style="568" bestFit="1" customWidth="1"/>
    <col min="6924" max="6925" width="8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6" width="7.625" style="568" bestFit="1" customWidth="1"/>
    <col min="7177" max="7177" width="5" style="568" bestFit="1" customWidth="1"/>
    <col min="7178" max="7178" width="8.375" style="568" bestFit="1" customWidth="1"/>
    <col min="7179" max="7179" width="18.75" style="568" bestFit="1" customWidth="1"/>
    <col min="7180" max="7181" width="8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2" width="7.625" style="568" bestFit="1" customWidth="1"/>
    <col min="7433" max="7433" width="5" style="568" bestFit="1" customWidth="1"/>
    <col min="7434" max="7434" width="8.375" style="568" bestFit="1" customWidth="1"/>
    <col min="7435" max="7435" width="18.75" style="568" bestFit="1" customWidth="1"/>
    <col min="7436" max="7437" width="8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8" width="7.625" style="568" bestFit="1" customWidth="1"/>
    <col min="7689" max="7689" width="5" style="568" bestFit="1" customWidth="1"/>
    <col min="7690" max="7690" width="8.375" style="568" bestFit="1" customWidth="1"/>
    <col min="7691" max="7691" width="18.75" style="568" bestFit="1" customWidth="1"/>
    <col min="7692" max="7693" width="8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4" width="7.625" style="568" bestFit="1" customWidth="1"/>
    <col min="7945" max="7945" width="5" style="568" bestFit="1" customWidth="1"/>
    <col min="7946" max="7946" width="8.375" style="568" bestFit="1" customWidth="1"/>
    <col min="7947" max="7947" width="18.75" style="568" bestFit="1" customWidth="1"/>
    <col min="7948" max="7949" width="8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200" width="7.625" style="568" bestFit="1" customWidth="1"/>
    <col min="8201" max="8201" width="5" style="568" bestFit="1" customWidth="1"/>
    <col min="8202" max="8202" width="8.375" style="568" bestFit="1" customWidth="1"/>
    <col min="8203" max="8203" width="18.75" style="568" bestFit="1" customWidth="1"/>
    <col min="8204" max="8205" width="8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6" width="7.625" style="568" bestFit="1" customWidth="1"/>
    <col min="8457" max="8457" width="5" style="568" bestFit="1" customWidth="1"/>
    <col min="8458" max="8458" width="8.375" style="568" bestFit="1" customWidth="1"/>
    <col min="8459" max="8459" width="18.75" style="568" bestFit="1" customWidth="1"/>
    <col min="8460" max="8461" width="8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2" width="7.625" style="568" bestFit="1" customWidth="1"/>
    <col min="8713" max="8713" width="5" style="568" bestFit="1" customWidth="1"/>
    <col min="8714" max="8714" width="8.375" style="568" bestFit="1" customWidth="1"/>
    <col min="8715" max="8715" width="18.75" style="568" bestFit="1" customWidth="1"/>
    <col min="8716" max="8717" width="8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8" width="7.625" style="568" bestFit="1" customWidth="1"/>
    <col min="8969" max="8969" width="5" style="568" bestFit="1" customWidth="1"/>
    <col min="8970" max="8970" width="8.375" style="568" bestFit="1" customWidth="1"/>
    <col min="8971" max="8971" width="18.75" style="568" bestFit="1" customWidth="1"/>
    <col min="8972" max="8973" width="8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4" width="7.625" style="568" bestFit="1" customWidth="1"/>
    <col min="9225" max="9225" width="5" style="568" bestFit="1" customWidth="1"/>
    <col min="9226" max="9226" width="8.375" style="568" bestFit="1" customWidth="1"/>
    <col min="9227" max="9227" width="18.75" style="568" bestFit="1" customWidth="1"/>
    <col min="9228" max="9229" width="8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80" width="7.625" style="568" bestFit="1" customWidth="1"/>
    <col min="9481" max="9481" width="5" style="568" bestFit="1" customWidth="1"/>
    <col min="9482" max="9482" width="8.375" style="568" bestFit="1" customWidth="1"/>
    <col min="9483" max="9483" width="18.75" style="568" bestFit="1" customWidth="1"/>
    <col min="9484" max="9485" width="8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6" width="7.625" style="568" bestFit="1" customWidth="1"/>
    <col min="9737" max="9737" width="5" style="568" bestFit="1" customWidth="1"/>
    <col min="9738" max="9738" width="8.375" style="568" bestFit="1" customWidth="1"/>
    <col min="9739" max="9739" width="18.75" style="568" bestFit="1" customWidth="1"/>
    <col min="9740" max="9741" width="8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2" width="7.625" style="568" bestFit="1" customWidth="1"/>
    <col min="9993" max="9993" width="5" style="568" bestFit="1" customWidth="1"/>
    <col min="9994" max="9994" width="8.375" style="568" bestFit="1" customWidth="1"/>
    <col min="9995" max="9995" width="18.75" style="568" bestFit="1" customWidth="1"/>
    <col min="9996" max="9997" width="8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8" width="7.625" style="568" bestFit="1" customWidth="1"/>
    <col min="10249" max="10249" width="5" style="568" bestFit="1" customWidth="1"/>
    <col min="10250" max="10250" width="8.375" style="568" bestFit="1" customWidth="1"/>
    <col min="10251" max="10251" width="18.75" style="568" bestFit="1" customWidth="1"/>
    <col min="10252" max="10253" width="8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4" width="7.625" style="568" bestFit="1" customWidth="1"/>
    <col min="10505" max="10505" width="5" style="568" bestFit="1" customWidth="1"/>
    <col min="10506" max="10506" width="8.375" style="568" bestFit="1" customWidth="1"/>
    <col min="10507" max="10507" width="18.75" style="568" bestFit="1" customWidth="1"/>
    <col min="10508" max="10509" width="8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60" width="7.625" style="568" bestFit="1" customWidth="1"/>
    <col min="10761" max="10761" width="5" style="568" bestFit="1" customWidth="1"/>
    <col min="10762" max="10762" width="8.375" style="568" bestFit="1" customWidth="1"/>
    <col min="10763" max="10763" width="18.75" style="568" bestFit="1" customWidth="1"/>
    <col min="10764" max="10765" width="8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6" width="7.625" style="568" bestFit="1" customWidth="1"/>
    <col min="11017" max="11017" width="5" style="568" bestFit="1" customWidth="1"/>
    <col min="11018" max="11018" width="8.375" style="568" bestFit="1" customWidth="1"/>
    <col min="11019" max="11019" width="18.75" style="568" bestFit="1" customWidth="1"/>
    <col min="11020" max="11021" width="8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2" width="7.625" style="568" bestFit="1" customWidth="1"/>
    <col min="11273" max="11273" width="5" style="568" bestFit="1" customWidth="1"/>
    <col min="11274" max="11274" width="8.375" style="568" bestFit="1" customWidth="1"/>
    <col min="11275" max="11275" width="18.75" style="568" bestFit="1" customWidth="1"/>
    <col min="11276" max="11277" width="8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8" width="7.625" style="568" bestFit="1" customWidth="1"/>
    <col min="11529" max="11529" width="5" style="568" bestFit="1" customWidth="1"/>
    <col min="11530" max="11530" width="8.375" style="568" bestFit="1" customWidth="1"/>
    <col min="11531" max="11531" width="18.75" style="568" bestFit="1" customWidth="1"/>
    <col min="11532" max="11533" width="8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4" width="7.625" style="568" bestFit="1" customWidth="1"/>
    <col min="11785" max="11785" width="5" style="568" bestFit="1" customWidth="1"/>
    <col min="11786" max="11786" width="8.375" style="568" bestFit="1" customWidth="1"/>
    <col min="11787" max="11787" width="18.75" style="568" bestFit="1" customWidth="1"/>
    <col min="11788" max="11789" width="8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40" width="7.625" style="568" bestFit="1" customWidth="1"/>
    <col min="12041" max="12041" width="5" style="568" bestFit="1" customWidth="1"/>
    <col min="12042" max="12042" width="8.375" style="568" bestFit="1" customWidth="1"/>
    <col min="12043" max="12043" width="18.75" style="568" bestFit="1" customWidth="1"/>
    <col min="12044" max="12045" width="8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6" width="7.625" style="568" bestFit="1" customWidth="1"/>
    <col min="12297" max="12297" width="5" style="568" bestFit="1" customWidth="1"/>
    <col min="12298" max="12298" width="8.375" style="568" bestFit="1" customWidth="1"/>
    <col min="12299" max="12299" width="18.75" style="568" bestFit="1" customWidth="1"/>
    <col min="12300" max="12301" width="8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2" width="7.625" style="568" bestFit="1" customWidth="1"/>
    <col min="12553" max="12553" width="5" style="568" bestFit="1" customWidth="1"/>
    <col min="12554" max="12554" width="8.375" style="568" bestFit="1" customWidth="1"/>
    <col min="12555" max="12555" width="18.75" style="568" bestFit="1" customWidth="1"/>
    <col min="12556" max="12557" width="8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8" width="7.625" style="568" bestFit="1" customWidth="1"/>
    <col min="12809" max="12809" width="5" style="568" bestFit="1" customWidth="1"/>
    <col min="12810" max="12810" width="8.375" style="568" bestFit="1" customWidth="1"/>
    <col min="12811" max="12811" width="18.75" style="568" bestFit="1" customWidth="1"/>
    <col min="12812" max="12813" width="8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4" width="7.625" style="568" bestFit="1" customWidth="1"/>
    <col min="13065" max="13065" width="5" style="568" bestFit="1" customWidth="1"/>
    <col min="13066" max="13066" width="8.375" style="568" bestFit="1" customWidth="1"/>
    <col min="13067" max="13067" width="18.75" style="568" bestFit="1" customWidth="1"/>
    <col min="13068" max="13069" width="8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20" width="7.625" style="568" bestFit="1" customWidth="1"/>
    <col min="13321" max="13321" width="5" style="568" bestFit="1" customWidth="1"/>
    <col min="13322" max="13322" width="8.375" style="568" bestFit="1" customWidth="1"/>
    <col min="13323" max="13323" width="18.75" style="568" bestFit="1" customWidth="1"/>
    <col min="13324" max="13325" width="8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6" width="7.625" style="568" bestFit="1" customWidth="1"/>
    <col min="13577" max="13577" width="5" style="568" bestFit="1" customWidth="1"/>
    <col min="13578" max="13578" width="8.375" style="568" bestFit="1" customWidth="1"/>
    <col min="13579" max="13579" width="18.75" style="568" bestFit="1" customWidth="1"/>
    <col min="13580" max="13581" width="8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2" width="7.625" style="568" bestFit="1" customWidth="1"/>
    <col min="13833" max="13833" width="5" style="568" bestFit="1" customWidth="1"/>
    <col min="13834" max="13834" width="8.375" style="568" bestFit="1" customWidth="1"/>
    <col min="13835" max="13835" width="18.75" style="568" bestFit="1" customWidth="1"/>
    <col min="13836" max="13837" width="8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8" width="7.625" style="568" bestFit="1" customWidth="1"/>
    <col min="14089" max="14089" width="5" style="568" bestFit="1" customWidth="1"/>
    <col min="14090" max="14090" width="8.375" style="568" bestFit="1" customWidth="1"/>
    <col min="14091" max="14091" width="18.75" style="568" bestFit="1" customWidth="1"/>
    <col min="14092" max="14093" width="8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4" width="7.625" style="568" bestFit="1" customWidth="1"/>
    <col min="14345" max="14345" width="5" style="568" bestFit="1" customWidth="1"/>
    <col min="14346" max="14346" width="8.375" style="568" bestFit="1" customWidth="1"/>
    <col min="14347" max="14347" width="18.75" style="568" bestFit="1" customWidth="1"/>
    <col min="14348" max="14349" width="8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600" width="7.625" style="568" bestFit="1" customWidth="1"/>
    <col min="14601" max="14601" width="5" style="568" bestFit="1" customWidth="1"/>
    <col min="14602" max="14602" width="8.375" style="568" bestFit="1" customWidth="1"/>
    <col min="14603" max="14603" width="18.75" style="568" bestFit="1" customWidth="1"/>
    <col min="14604" max="14605" width="8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6" width="7.625" style="568" bestFit="1" customWidth="1"/>
    <col min="14857" max="14857" width="5" style="568" bestFit="1" customWidth="1"/>
    <col min="14858" max="14858" width="8.375" style="568" bestFit="1" customWidth="1"/>
    <col min="14859" max="14859" width="18.75" style="568" bestFit="1" customWidth="1"/>
    <col min="14860" max="14861" width="8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2" width="7.625" style="568" bestFit="1" customWidth="1"/>
    <col min="15113" max="15113" width="5" style="568" bestFit="1" customWidth="1"/>
    <col min="15114" max="15114" width="8.375" style="568" bestFit="1" customWidth="1"/>
    <col min="15115" max="15115" width="18.75" style="568" bestFit="1" customWidth="1"/>
    <col min="15116" max="15117" width="8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8" width="7.625" style="568" bestFit="1" customWidth="1"/>
    <col min="15369" max="15369" width="5" style="568" bestFit="1" customWidth="1"/>
    <col min="15370" max="15370" width="8.375" style="568" bestFit="1" customWidth="1"/>
    <col min="15371" max="15371" width="18.75" style="568" bestFit="1" customWidth="1"/>
    <col min="15372" max="15373" width="8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4" width="7.625" style="568" bestFit="1" customWidth="1"/>
    <col min="15625" max="15625" width="5" style="568" bestFit="1" customWidth="1"/>
    <col min="15626" max="15626" width="8.375" style="568" bestFit="1" customWidth="1"/>
    <col min="15627" max="15627" width="18.75" style="568" bestFit="1" customWidth="1"/>
    <col min="15628" max="15629" width="8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80" width="7.625" style="568" bestFit="1" customWidth="1"/>
    <col min="15881" max="15881" width="5" style="568" bestFit="1" customWidth="1"/>
    <col min="15882" max="15882" width="8.375" style="568" bestFit="1" customWidth="1"/>
    <col min="15883" max="15883" width="18.75" style="568" bestFit="1" customWidth="1"/>
    <col min="15884" max="15885" width="8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6" width="7.625" style="568" bestFit="1" customWidth="1"/>
    <col min="16137" max="16137" width="5" style="568" bestFit="1" customWidth="1"/>
    <col min="16138" max="16138" width="8.375" style="568" bestFit="1" customWidth="1"/>
    <col min="16139" max="16139" width="18.75" style="568" bestFit="1" customWidth="1"/>
    <col min="16140" max="16141" width="8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940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401</v>
      </c>
      <c r="J9" s="567" t="s">
        <v>327</v>
      </c>
      <c r="K9" s="567" t="s">
        <v>1002</v>
      </c>
      <c r="L9" s="567" t="s">
        <v>1003</v>
      </c>
      <c r="M9" s="567" t="s">
        <v>1004</v>
      </c>
      <c r="N9" s="567" t="s">
        <v>1011</v>
      </c>
      <c r="O9" s="567" t="s">
        <v>1012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0.1383912037037037</v>
      </c>
      <c r="E10" s="567">
        <v>95656</v>
      </c>
      <c r="F10" s="567" t="s">
        <v>1001</v>
      </c>
      <c r="G10" s="567" t="s">
        <v>326</v>
      </c>
      <c r="H10" s="567">
        <v>0</v>
      </c>
      <c r="I10" s="567">
        <v>401</v>
      </c>
      <c r="J10" s="567" t="s">
        <v>327</v>
      </c>
      <c r="K10" s="567" t="s">
        <v>1002</v>
      </c>
      <c r="L10" s="567" t="s">
        <v>1003</v>
      </c>
      <c r="M10" s="567" t="s">
        <v>1004</v>
      </c>
      <c r="N10" s="567" t="s">
        <v>1011</v>
      </c>
      <c r="O10" s="567" t="s">
        <v>1012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9">
        <v>0.14722222222222223</v>
      </c>
      <c r="E11" s="567">
        <v>6104</v>
      </c>
      <c r="F11" s="567" t="s">
        <v>335</v>
      </c>
      <c r="G11" s="567">
        <v>0</v>
      </c>
      <c r="H11" s="567" t="s">
        <v>326</v>
      </c>
      <c r="I11" s="567" t="s">
        <v>336</v>
      </c>
      <c r="J11" s="567">
        <v>0</v>
      </c>
      <c r="K11" s="567" t="s">
        <v>337</v>
      </c>
      <c r="L11" s="567">
        <v>45</v>
      </c>
      <c r="M11" s="567">
        <v>1</v>
      </c>
    </row>
    <row r="12" spans="1:18" ht="15" x14ac:dyDescent="0.2">
      <c r="A12" s="567"/>
      <c r="B12" s="567"/>
      <c r="C12" s="567"/>
      <c r="D12" s="569">
        <v>0.15069444444444444</v>
      </c>
      <c r="E12" s="567">
        <v>0</v>
      </c>
      <c r="F12" s="567" t="s">
        <v>1001</v>
      </c>
      <c r="G12" s="567" t="s">
        <v>326</v>
      </c>
      <c r="H12" s="567">
        <v>0</v>
      </c>
      <c r="I12" s="567">
        <v>97</v>
      </c>
      <c r="J12" s="567" t="s">
        <v>327</v>
      </c>
      <c r="K12" s="567" t="s">
        <v>1002</v>
      </c>
      <c r="L12" s="567" t="s">
        <v>1003</v>
      </c>
      <c r="M12" s="567" t="s">
        <v>1004</v>
      </c>
      <c r="N12" s="567" t="s">
        <v>1011</v>
      </c>
      <c r="O12" s="567" t="s">
        <v>1012</v>
      </c>
      <c r="P12" s="567" t="s">
        <v>1007</v>
      </c>
      <c r="Q12" s="567" t="s">
        <v>1008</v>
      </c>
      <c r="R12" s="567">
        <v>80</v>
      </c>
    </row>
    <row r="13" spans="1:18" ht="15" x14ac:dyDescent="0.2">
      <c r="A13" s="567"/>
      <c r="B13" s="567"/>
      <c r="C13" s="567"/>
      <c r="D13" s="569">
        <v>0.26819444444444446</v>
      </c>
      <c r="E13" s="567">
        <v>81216</v>
      </c>
      <c r="F13" s="567" t="s">
        <v>1001</v>
      </c>
      <c r="G13" s="567" t="s">
        <v>326</v>
      </c>
      <c r="H13" s="567">
        <v>0</v>
      </c>
      <c r="I13" s="567">
        <v>97</v>
      </c>
      <c r="J13" s="567" t="s">
        <v>327</v>
      </c>
      <c r="K13" s="567" t="s">
        <v>1002</v>
      </c>
      <c r="L13" s="567" t="s">
        <v>1003</v>
      </c>
      <c r="M13" s="567" t="s">
        <v>1004</v>
      </c>
      <c r="N13" s="567" t="s">
        <v>1011</v>
      </c>
      <c r="O13" s="567" t="s">
        <v>1012</v>
      </c>
      <c r="P13" s="567" t="s">
        <v>1009</v>
      </c>
      <c r="Q13" s="567" t="s">
        <v>1008</v>
      </c>
      <c r="R13" s="567">
        <v>80</v>
      </c>
    </row>
    <row r="14" spans="1:18" ht="15" x14ac:dyDescent="0.2">
      <c r="A14" s="567"/>
      <c r="B14" s="567"/>
      <c r="C14" s="567"/>
      <c r="D14" s="569">
        <v>0.27569444444444446</v>
      </c>
      <c r="E14" s="567">
        <v>5184</v>
      </c>
      <c r="F14" s="567" t="s">
        <v>1001</v>
      </c>
      <c r="G14" s="567" t="s">
        <v>326</v>
      </c>
      <c r="H14" s="567">
        <v>0</v>
      </c>
      <c r="I14" s="567">
        <v>401</v>
      </c>
      <c r="J14" s="567" t="s">
        <v>327</v>
      </c>
      <c r="K14" s="567" t="s">
        <v>1002</v>
      </c>
      <c r="L14" s="567" t="s">
        <v>1003</v>
      </c>
      <c r="M14" s="567" t="s">
        <v>1004</v>
      </c>
      <c r="N14" s="567" t="s">
        <v>1005</v>
      </c>
      <c r="O14" s="567" t="s">
        <v>1006</v>
      </c>
      <c r="P14" s="567" t="s">
        <v>1007</v>
      </c>
      <c r="Q14" s="567" t="s">
        <v>1008</v>
      </c>
      <c r="R14" s="567">
        <v>80</v>
      </c>
    </row>
    <row r="15" spans="1:18" ht="15" x14ac:dyDescent="0.2">
      <c r="A15" s="567"/>
      <c r="B15" s="567"/>
      <c r="C15" s="567"/>
      <c r="D15" s="569">
        <v>0.39319444444444446</v>
      </c>
      <c r="E15" s="567">
        <v>81216</v>
      </c>
      <c r="F15" s="567" t="s">
        <v>1001</v>
      </c>
      <c r="G15" s="567" t="s">
        <v>326</v>
      </c>
      <c r="H15" s="567">
        <v>0</v>
      </c>
      <c r="I15" s="567">
        <v>401</v>
      </c>
      <c r="J15" s="567" t="s">
        <v>327</v>
      </c>
      <c r="K15" s="567" t="s">
        <v>1002</v>
      </c>
      <c r="L15" s="567" t="s">
        <v>1003</v>
      </c>
      <c r="M15" s="567" t="s">
        <v>1004</v>
      </c>
      <c r="N15" s="567" t="s">
        <v>1005</v>
      </c>
      <c r="O15" s="567" t="s">
        <v>1006</v>
      </c>
      <c r="P15" s="567" t="s">
        <v>1009</v>
      </c>
      <c r="Q15" s="567" t="s">
        <v>1008</v>
      </c>
      <c r="R15" s="567">
        <v>80</v>
      </c>
    </row>
    <row r="16" spans="1:18" ht="15" x14ac:dyDescent="0.2">
      <c r="A16" s="567"/>
      <c r="B16" s="567"/>
      <c r="C16" s="567"/>
      <c r="D16" s="569">
        <v>0.39319444444444446</v>
      </c>
      <c r="E16" s="567">
        <v>0</v>
      </c>
      <c r="F16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2"/>
  <sheetViews>
    <sheetView workbookViewId="0"/>
  </sheetViews>
  <sheetFormatPr defaultRowHeight="12.75" x14ac:dyDescent="0.2"/>
  <cols>
    <col min="1" max="1" width="9" style="568"/>
    <col min="2" max="2" width="6" style="568" bestFit="1" customWidth="1"/>
    <col min="3" max="3" width="4.375" style="568" bestFit="1" customWidth="1"/>
    <col min="4" max="4" width="13.125" style="568" bestFit="1" customWidth="1"/>
    <col min="5" max="5" width="9.375" style="568" bestFit="1" customWidth="1"/>
    <col min="6" max="6" width="26.375" style="568" bestFit="1" customWidth="1"/>
    <col min="7" max="8" width="7.625" style="568" bestFit="1" customWidth="1"/>
    <col min="9" max="9" width="5" style="568" bestFit="1" customWidth="1"/>
    <col min="10" max="10" width="8.375" style="568" bestFit="1" customWidth="1"/>
    <col min="11" max="11" width="18.75" style="568" bestFit="1" customWidth="1"/>
    <col min="12" max="13" width="8.875" style="568" bestFit="1" customWidth="1"/>
    <col min="14" max="15" width="9.125" style="568" bestFit="1" customWidth="1"/>
    <col min="16" max="17" width="9.375" style="568" bestFit="1" customWidth="1"/>
    <col min="18" max="18" width="3.375" style="568" bestFit="1" customWidth="1"/>
    <col min="19" max="257" width="9" style="568"/>
    <col min="258" max="258" width="6" style="568" bestFit="1" customWidth="1"/>
    <col min="259" max="259" width="4.375" style="568" bestFit="1" customWidth="1"/>
    <col min="260" max="260" width="13.125" style="568" bestFit="1" customWidth="1"/>
    <col min="261" max="261" width="9.375" style="568" bestFit="1" customWidth="1"/>
    <col min="262" max="262" width="26.375" style="568" bestFit="1" customWidth="1"/>
    <col min="263" max="264" width="7.625" style="568" bestFit="1" customWidth="1"/>
    <col min="265" max="265" width="5" style="568" bestFit="1" customWidth="1"/>
    <col min="266" max="266" width="8.375" style="568" bestFit="1" customWidth="1"/>
    <col min="267" max="267" width="18.75" style="568" bestFit="1" customWidth="1"/>
    <col min="268" max="269" width="8.875" style="568" bestFit="1" customWidth="1"/>
    <col min="270" max="271" width="9.125" style="568" bestFit="1" customWidth="1"/>
    <col min="272" max="273" width="9.375" style="568" bestFit="1" customWidth="1"/>
    <col min="274" max="274" width="3.375" style="568" bestFit="1" customWidth="1"/>
    <col min="275" max="513" width="9" style="568"/>
    <col min="514" max="514" width="6" style="568" bestFit="1" customWidth="1"/>
    <col min="515" max="515" width="4.375" style="568" bestFit="1" customWidth="1"/>
    <col min="516" max="516" width="13.125" style="568" bestFit="1" customWidth="1"/>
    <col min="517" max="517" width="9.375" style="568" bestFit="1" customWidth="1"/>
    <col min="518" max="518" width="26.375" style="568" bestFit="1" customWidth="1"/>
    <col min="519" max="520" width="7.625" style="568" bestFit="1" customWidth="1"/>
    <col min="521" max="521" width="5" style="568" bestFit="1" customWidth="1"/>
    <col min="522" max="522" width="8.375" style="568" bestFit="1" customWidth="1"/>
    <col min="523" max="523" width="18.75" style="568" bestFit="1" customWidth="1"/>
    <col min="524" max="525" width="8.875" style="568" bestFit="1" customWidth="1"/>
    <col min="526" max="527" width="9.125" style="568" bestFit="1" customWidth="1"/>
    <col min="528" max="529" width="9.375" style="568" bestFit="1" customWidth="1"/>
    <col min="530" max="530" width="3.375" style="568" bestFit="1" customWidth="1"/>
    <col min="531" max="769" width="9" style="568"/>
    <col min="770" max="770" width="6" style="568" bestFit="1" customWidth="1"/>
    <col min="771" max="771" width="4.375" style="568" bestFit="1" customWidth="1"/>
    <col min="772" max="772" width="13.125" style="568" bestFit="1" customWidth="1"/>
    <col min="773" max="773" width="9.375" style="568" bestFit="1" customWidth="1"/>
    <col min="774" max="774" width="26.375" style="568" bestFit="1" customWidth="1"/>
    <col min="775" max="776" width="7.625" style="568" bestFit="1" customWidth="1"/>
    <col min="777" max="777" width="5" style="568" bestFit="1" customWidth="1"/>
    <col min="778" max="778" width="8.375" style="568" bestFit="1" customWidth="1"/>
    <col min="779" max="779" width="18.75" style="568" bestFit="1" customWidth="1"/>
    <col min="780" max="781" width="8.875" style="568" bestFit="1" customWidth="1"/>
    <col min="782" max="783" width="9.125" style="568" bestFit="1" customWidth="1"/>
    <col min="784" max="785" width="9.375" style="568" bestFit="1" customWidth="1"/>
    <col min="786" max="786" width="3.375" style="568" bestFit="1" customWidth="1"/>
    <col min="787" max="1025" width="9" style="568"/>
    <col min="1026" max="1026" width="6" style="568" bestFit="1" customWidth="1"/>
    <col min="1027" max="1027" width="4.375" style="568" bestFit="1" customWidth="1"/>
    <col min="1028" max="1028" width="13.125" style="568" bestFit="1" customWidth="1"/>
    <col min="1029" max="1029" width="9.375" style="568" bestFit="1" customWidth="1"/>
    <col min="1030" max="1030" width="26.375" style="568" bestFit="1" customWidth="1"/>
    <col min="1031" max="1032" width="7.625" style="568" bestFit="1" customWidth="1"/>
    <col min="1033" max="1033" width="5" style="568" bestFit="1" customWidth="1"/>
    <col min="1034" max="1034" width="8.375" style="568" bestFit="1" customWidth="1"/>
    <col min="1035" max="1035" width="18.75" style="568" bestFit="1" customWidth="1"/>
    <col min="1036" max="1037" width="8.875" style="568" bestFit="1" customWidth="1"/>
    <col min="1038" max="1039" width="9.125" style="568" bestFit="1" customWidth="1"/>
    <col min="1040" max="1041" width="9.375" style="568" bestFit="1" customWidth="1"/>
    <col min="1042" max="1042" width="3.375" style="568" bestFit="1" customWidth="1"/>
    <col min="1043" max="1281" width="9" style="568"/>
    <col min="1282" max="1282" width="6" style="568" bestFit="1" customWidth="1"/>
    <col min="1283" max="1283" width="4.375" style="568" bestFit="1" customWidth="1"/>
    <col min="1284" max="1284" width="13.125" style="568" bestFit="1" customWidth="1"/>
    <col min="1285" max="1285" width="9.375" style="568" bestFit="1" customWidth="1"/>
    <col min="1286" max="1286" width="26.375" style="568" bestFit="1" customWidth="1"/>
    <col min="1287" max="1288" width="7.625" style="568" bestFit="1" customWidth="1"/>
    <col min="1289" max="1289" width="5" style="568" bestFit="1" customWidth="1"/>
    <col min="1290" max="1290" width="8.375" style="568" bestFit="1" customWidth="1"/>
    <col min="1291" max="1291" width="18.75" style="568" bestFit="1" customWidth="1"/>
    <col min="1292" max="1293" width="8.875" style="568" bestFit="1" customWidth="1"/>
    <col min="1294" max="1295" width="9.125" style="568" bestFit="1" customWidth="1"/>
    <col min="1296" max="1297" width="9.375" style="568" bestFit="1" customWidth="1"/>
    <col min="1298" max="1298" width="3.375" style="568" bestFit="1" customWidth="1"/>
    <col min="1299" max="1537" width="9" style="568"/>
    <col min="1538" max="1538" width="6" style="568" bestFit="1" customWidth="1"/>
    <col min="1539" max="1539" width="4.375" style="568" bestFit="1" customWidth="1"/>
    <col min="1540" max="1540" width="13.125" style="568" bestFit="1" customWidth="1"/>
    <col min="1541" max="1541" width="9.375" style="568" bestFit="1" customWidth="1"/>
    <col min="1542" max="1542" width="26.375" style="568" bestFit="1" customWidth="1"/>
    <col min="1543" max="1544" width="7.625" style="568" bestFit="1" customWidth="1"/>
    <col min="1545" max="1545" width="5" style="568" bestFit="1" customWidth="1"/>
    <col min="1546" max="1546" width="8.375" style="568" bestFit="1" customWidth="1"/>
    <col min="1547" max="1547" width="18.75" style="568" bestFit="1" customWidth="1"/>
    <col min="1548" max="1549" width="8.875" style="568" bestFit="1" customWidth="1"/>
    <col min="1550" max="1551" width="9.125" style="568" bestFit="1" customWidth="1"/>
    <col min="1552" max="1553" width="9.375" style="568" bestFit="1" customWidth="1"/>
    <col min="1554" max="1554" width="3.375" style="568" bestFit="1" customWidth="1"/>
    <col min="1555" max="1793" width="9" style="568"/>
    <col min="1794" max="1794" width="6" style="568" bestFit="1" customWidth="1"/>
    <col min="1795" max="1795" width="4.375" style="568" bestFit="1" customWidth="1"/>
    <col min="1796" max="1796" width="13.125" style="568" bestFit="1" customWidth="1"/>
    <col min="1797" max="1797" width="9.375" style="568" bestFit="1" customWidth="1"/>
    <col min="1798" max="1798" width="26.375" style="568" bestFit="1" customWidth="1"/>
    <col min="1799" max="1800" width="7.625" style="568" bestFit="1" customWidth="1"/>
    <col min="1801" max="1801" width="5" style="568" bestFit="1" customWidth="1"/>
    <col min="1802" max="1802" width="8.375" style="568" bestFit="1" customWidth="1"/>
    <col min="1803" max="1803" width="18.75" style="568" bestFit="1" customWidth="1"/>
    <col min="1804" max="1805" width="8.875" style="568" bestFit="1" customWidth="1"/>
    <col min="1806" max="1807" width="9.125" style="568" bestFit="1" customWidth="1"/>
    <col min="1808" max="1809" width="9.375" style="568" bestFit="1" customWidth="1"/>
    <col min="1810" max="1810" width="3.375" style="568" bestFit="1" customWidth="1"/>
    <col min="1811" max="2049" width="9" style="568"/>
    <col min="2050" max="2050" width="6" style="568" bestFit="1" customWidth="1"/>
    <col min="2051" max="2051" width="4.375" style="568" bestFit="1" customWidth="1"/>
    <col min="2052" max="2052" width="13.125" style="568" bestFit="1" customWidth="1"/>
    <col min="2053" max="2053" width="9.375" style="568" bestFit="1" customWidth="1"/>
    <col min="2054" max="2054" width="26.375" style="568" bestFit="1" customWidth="1"/>
    <col min="2055" max="2056" width="7.625" style="568" bestFit="1" customWidth="1"/>
    <col min="2057" max="2057" width="5" style="568" bestFit="1" customWidth="1"/>
    <col min="2058" max="2058" width="8.375" style="568" bestFit="1" customWidth="1"/>
    <col min="2059" max="2059" width="18.75" style="568" bestFit="1" customWidth="1"/>
    <col min="2060" max="2061" width="8.875" style="568" bestFit="1" customWidth="1"/>
    <col min="2062" max="2063" width="9.125" style="568" bestFit="1" customWidth="1"/>
    <col min="2064" max="2065" width="9.375" style="568" bestFit="1" customWidth="1"/>
    <col min="2066" max="2066" width="3.375" style="568" bestFit="1" customWidth="1"/>
    <col min="2067" max="2305" width="9" style="568"/>
    <col min="2306" max="2306" width="6" style="568" bestFit="1" customWidth="1"/>
    <col min="2307" max="2307" width="4.375" style="568" bestFit="1" customWidth="1"/>
    <col min="2308" max="2308" width="13.125" style="568" bestFit="1" customWidth="1"/>
    <col min="2309" max="2309" width="9.375" style="568" bestFit="1" customWidth="1"/>
    <col min="2310" max="2310" width="26.375" style="568" bestFit="1" customWidth="1"/>
    <col min="2311" max="2312" width="7.625" style="568" bestFit="1" customWidth="1"/>
    <col min="2313" max="2313" width="5" style="568" bestFit="1" customWidth="1"/>
    <col min="2314" max="2314" width="8.375" style="568" bestFit="1" customWidth="1"/>
    <col min="2315" max="2315" width="18.75" style="568" bestFit="1" customWidth="1"/>
    <col min="2316" max="2317" width="8.875" style="568" bestFit="1" customWidth="1"/>
    <col min="2318" max="2319" width="9.125" style="568" bestFit="1" customWidth="1"/>
    <col min="2320" max="2321" width="9.375" style="568" bestFit="1" customWidth="1"/>
    <col min="2322" max="2322" width="3.375" style="568" bestFit="1" customWidth="1"/>
    <col min="2323" max="2561" width="9" style="568"/>
    <col min="2562" max="2562" width="6" style="568" bestFit="1" customWidth="1"/>
    <col min="2563" max="2563" width="4.375" style="568" bestFit="1" customWidth="1"/>
    <col min="2564" max="2564" width="13.125" style="568" bestFit="1" customWidth="1"/>
    <col min="2565" max="2565" width="9.375" style="568" bestFit="1" customWidth="1"/>
    <col min="2566" max="2566" width="26.375" style="568" bestFit="1" customWidth="1"/>
    <col min="2567" max="2568" width="7.625" style="568" bestFit="1" customWidth="1"/>
    <col min="2569" max="2569" width="5" style="568" bestFit="1" customWidth="1"/>
    <col min="2570" max="2570" width="8.375" style="568" bestFit="1" customWidth="1"/>
    <col min="2571" max="2571" width="18.75" style="568" bestFit="1" customWidth="1"/>
    <col min="2572" max="2573" width="8.875" style="568" bestFit="1" customWidth="1"/>
    <col min="2574" max="2575" width="9.125" style="568" bestFit="1" customWidth="1"/>
    <col min="2576" max="2577" width="9.375" style="568" bestFit="1" customWidth="1"/>
    <col min="2578" max="2578" width="3.375" style="568" bestFit="1" customWidth="1"/>
    <col min="2579" max="2817" width="9" style="568"/>
    <col min="2818" max="2818" width="6" style="568" bestFit="1" customWidth="1"/>
    <col min="2819" max="2819" width="4.375" style="568" bestFit="1" customWidth="1"/>
    <col min="2820" max="2820" width="13.125" style="568" bestFit="1" customWidth="1"/>
    <col min="2821" max="2821" width="9.375" style="568" bestFit="1" customWidth="1"/>
    <col min="2822" max="2822" width="26.375" style="568" bestFit="1" customWidth="1"/>
    <col min="2823" max="2824" width="7.625" style="568" bestFit="1" customWidth="1"/>
    <col min="2825" max="2825" width="5" style="568" bestFit="1" customWidth="1"/>
    <col min="2826" max="2826" width="8.375" style="568" bestFit="1" customWidth="1"/>
    <col min="2827" max="2827" width="18.75" style="568" bestFit="1" customWidth="1"/>
    <col min="2828" max="2829" width="8.875" style="568" bestFit="1" customWidth="1"/>
    <col min="2830" max="2831" width="9.125" style="568" bestFit="1" customWidth="1"/>
    <col min="2832" max="2833" width="9.375" style="568" bestFit="1" customWidth="1"/>
    <col min="2834" max="2834" width="3.375" style="568" bestFit="1" customWidth="1"/>
    <col min="2835" max="3073" width="9" style="568"/>
    <col min="3074" max="3074" width="6" style="568" bestFit="1" customWidth="1"/>
    <col min="3075" max="3075" width="4.375" style="568" bestFit="1" customWidth="1"/>
    <col min="3076" max="3076" width="13.125" style="568" bestFit="1" customWidth="1"/>
    <col min="3077" max="3077" width="9.375" style="568" bestFit="1" customWidth="1"/>
    <col min="3078" max="3078" width="26.375" style="568" bestFit="1" customWidth="1"/>
    <col min="3079" max="3080" width="7.625" style="568" bestFit="1" customWidth="1"/>
    <col min="3081" max="3081" width="5" style="568" bestFit="1" customWidth="1"/>
    <col min="3082" max="3082" width="8.375" style="568" bestFit="1" customWidth="1"/>
    <col min="3083" max="3083" width="18.75" style="568" bestFit="1" customWidth="1"/>
    <col min="3084" max="3085" width="8.875" style="568" bestFit="1" customWidth="1"/>
    <col min="3086" max="3087" width="9.125" style="568" bestFit="1" customWidth="1"/>
    <col min="3088" max="3089" width="9.375" style="568" bestFit="1" customWidth="1"/>
    <col min="3090" max="3090" width="3.375" style="568" bestFit="1" customWidth="1"/>
    <col min="3091" max="3329" width="9" style="568"/>
    <col min="3330" max="3330" width="6" style="568" bestFit="1" customWidth="1"/>
    <col min="3331" max="3331" width="4.375" style="568" bestFit="1" customWidth="1"/>
    <col min="3332" max="3332" width="13.125" style="568" bestFit="1" customWidth="1"/>
    <col min="3333" max="3333" width="9.375" style="568" bestFit="1" customWidth="1"/>
    <col min="3334" max="3334" width="26.375" style="568" bestFit="1" customWidth="1"/>
    <col min="3335" max="3336" width="7.625" style="568" bestFit="1" customWidth="1"/>
    <col min="3337" max="3337" width="5" style="568" bestFit="1" customWidth="1"/>
    <col min="3338" max="3338" width="8.375" style="568" bestFit="1" customWidth="1"/>
    <col min="3339" max="3339" width="18.75" style="568" bestFit="1" customWidth="1"/>
    <col min="3340" max="3341" width="8.875" style="568" bestFit="1" customWidth="1"/>
    <col min="3342" max="3343" width="9.125" style="568" bestFit="1" customWidth="1"/>
    <col min="3344" max="3345" width="9.375" style="568" bestFit="1" customWidth="1"/>
    <col min="3346" max="3346" width="3.375" style="568" bestFit="1" customWidth="1"/>
    <col min="3347" max="3585" width="9" style="568"/>
    <col min="3586" max="3586" width="6" style="568" bestFit="1" customWidth="1"/>
    <col min="3587" max="3587" width="4.375" style="568" bestFit="1" customWidth="1"/>
    <col min="3588" max="3588" width="13.125" style="568" bestFit="1" customWidth="1"/>
    <col min="3589" max="3589" width="9.375" style="568" bestFit="1" customWidth="1"/>
    <col min="3590" max="3590" width="26.375" style="568" bestFit="1" customWidth="1"/>
    <col min="3591" max="3592" width="7.625" style="568" bestFit="1" customWidth="1"/>
    <col min="3593" max="3593" width="5" style="568" bestFit="1" customWidth="1"/>
    <col min="3594" max="3594" width="8.375" style="568" bestFit="1" customWidth="1"/>
    <col min="3595" max="3595" width="18.75" style="568" bestFit="1" customWidth="1"/>
    <col min="3596" max="3597" width="8.875" style="568" bestFit="1" customWidth="1"/>
    <col min="3598" max="3599" width="9.125" style="568" bestFit="1" customWidth="1"/>
    <col min="3600" max="3601" width="9.375" style="568" bestFit="1" customWidth="1"/>
    <col min="3602" max="3602" width="3.375" style="568" bestFit="1" customWidth="1"/>
    <col min="3603" max="3841" width="9" style="568"/>
    <col min="3842" max="3842" width="6" style="568" bestFit="1" customWidth="1"/>
    <col min="3843" max="3843" width="4.375" style="568" bestFit="1" customWidth="1"/>
    <col min="3844" max="3844" width="13.125" style="568" bestFit="1" customWidth="1"/>
    <col min="3845" max="3845" width="9.375" style="568" bestFit="1" customWidth="1"/>
    <col min="3846" max="3846" width="26.375" style="568" bestFit="1" customWidth="1"/>
    <col min="3847" max="3848" width="7.625" style="568" bestFit="1" customWidth="1"/>
    <col min="3849" max="3849" width="5" style="568" bestFit="1" customWidth="1"/>
    <col min="3850" max="3850" width="8.375" style="568" bestFit="1" customWidth="1"/>
    <col min="3851" max="3851" width="18.75" style="568" bestFit="1" customWidth="1"/>
    <col min="3852" max="3853" width="8.875" style="568" bestFit="1" customWidth="1"/>
    <col min="3854" max="3855" width="9.125" style="568" bestFit="1" customWidth="1"/>
    <col min="3856" max="3857" width="9.375" style="568" bestFit="1" customWidth="1"/>
    <col min="3858" max="3858" width="3.375" style="568" bestFit="1" customWidth="1"/>
    <col min="3859" max="4097" width="9" style="568"/>
    <col min="4098" max="4098" width="6" style="568" bestFit="1" customWidth="1"/>
    <col min="4099" max="4099" width="4.375" style="568" bestFit="1" customWidth="1"/>
    <col min="4100" max="4100" width="13.125" style="568" bestFit="1" customWidth="1"/>
    <col min="4101" max="4101" width="9.375" style="568" bestFit="1" customWidth="1"/>
    <col min="4102" max="4102" width="26.375" style="568" bestFit="1" customWidth="1"/>
    <col min="4103" max="4104" width="7.625" style="568" bestFit="1" customWidth="1"/>
    <col min="4105" max="4105" width="5" style="568" bestFit="1" customWidth="1"/>
    <col min="4106" max="4106" width="8.375" style="568" bestFit="1" customWidth="1"/>
    <col min="4107" max="4107" width="18.75" style="568" bestFit="1" customWidth="1"/>
    <col min="4108" max="4109" width="8.875" style="568" bestFit="1" customWidth="1"/>
    <col min="4110" max="4111" width="9.125" style="568" bestFit="1" customWidth="1"/>
    <col min="4112" max="4113" width="9.375" style="568" bestFit="1" customWidth="1"/>
    <col min="4114" max="4114" width="3.375" style="568" bestFit="1" customWidth="1"/>
    <col min="4115" max="4353" width="9" style="568"/>
    <col min="4354" max="4354" width="6" style="568" bestFit="1" customWidth="1"/>
    <col min="4355" max="4355" width="4.375" style="568" bestFit="1" customWidth="1"/>
    <col min="4356" max="4356" width="13.125" style="568" bestFit="1" customWidth="1"/>
    <col min="4357" max="4357" width="9.375" style="568" bestFit="1" customWidth="1"/>
    <col min="4358" max="4358" width="26.375" style="568" bestFit="1" customWidth="1"/>
    <col min="4359" max="4360" width="7.625" style="568" bestFit="1" customWidth="1"/>
    <col min="4361" max="4361" width="5" style="568" bestFit="1" customWidth="1"/>
    <col min="4362" max="4362" width="8.375" style="568" bestFit="1" customWidth="1"/>
    <col min="4363" max="4363" width="18.75" style="568" bestFit="1" customWidth="1"/>
    <col min="4364" max="4365" width="8.875" style="568" bestFit="1" customWidth="1"/>
    <col min="4366" max="4367" width="9.125" style="568" bestFit="1" customWidth="1"/>
    <col min="4368" max="4369" width="9.375" style="568" bestFit="1" customWidth="1"/>
    <col min="4370" max="4370" width="3.375" style="568" bestFit="1" customWidth="1"/>
    <col min="4371" max="4609" width="9" style="568"/>
    <col min="4610" max="4610" width="6" style="568" bestFit="1" customWidth="1"/>
    <col min="4611" max="4611" width="4.375" style="568" bestFit="1" customWidth="1"/>
    <col min="4612" max="4612" width="13.125" style="568" bestFit="1" customWidth="1"/>
    <col min="4613" max="4613" width="9.375" style="568" bestFit="1" customWidth="1"/>
    <col min="4614" max="4614" width="26.375" style="568" bestFit="1" customWidth="1"/>
    <col min="4615" max="4616" width="7.625" style="568" bestFit="1" customWidth="1"/>
    <col min="4617" max="4617" width="5" style="568" bestFit="1" customWidth="1"/>
    <col min="4618" max="4618" width="8.375" style="568" bestFit="1" customWidth="1"/>
    <col min="4619" max="4619" width="18.75" style="568" bestFit="1" customWidth="1"/>
    <col min="4620" max="4621" width="8.875" style="568" bestFit="1" customWidth="1"/>
    <col min="4622" max="4623" width="9.125" style="568" bestFit="1" customWidth="1"/>
    <col min="4624" max="4625" width="9.375" style="568" bestFit="1" customWidth="1"/>
    <col min="4626" max="4626" width="3.375" style="568" bestFit="1" customWidth="1"/>
    <col min="4627" max="4865" width="9" style="568"/>
    <col min="4866" max="4866" width="6" style="568" bestFit="1" customWidth="1"/>
    <col min="4867" max="4867" width="4.375" style="568" bestFit="1" customWidth="1"/>
    <col min="4868" max="4868" width="13.125" style="568" bestFit="1" customWidth="1"/>
    <col min="4869" max="4869" width="9.375" style="568" bestFit="1" customWidth="1"/>
    <col min="4870" max="4870" width="26.375" style="568" bestFit="1" customWidth="1"/>
    <col min="4871" max="4872" width="7.625" style="568" bestFit="1" customWidth="1"/>
    <col min="4873" max="4873" width="5" style="568" bestFit="1" customWidth="1"/>
    <col min="4874" max="4874" width="8.375" style="568" bestFit="1" customWidth="1"/>
    <col min="4875" max="4875" width="18.75" style="568" bestFit="1" customWidth="1"/>
    <col min="4876" max="4877" width="8.875" style="568" bestFit="1" customWidth="1"/>
    <col min="4878" max="4879" width="9.125" style="568" bestFit="1" customWidth="1"/>
    <col min="4880" max="4881" width="9.375" style="568" bestFit="1" customWidth="1"/>
    <col min="4882" max="4882" width="3.375" style="568" bestFit="1" customWidth="1"/>
    <col min="4883" max="5121" width="9" style="568"/>
    <col min="5122" max="5122" width="6" style="568" bestFit="1" customWidth="1"/>
    <col min="5123" max="5123" width="4.375" style="568" bestFit="1" customWidth="1"/>
    <col min="5124" max="5124" width="13.125" style="568" bestFit="1" customWidth="1"/>
    <col min="5125" max="5125" width="9.375" style="568" bestFit="1" customWidth="1"/>
    <col min="5126" max="5126" width="26.375" style="568" bestFit="1" customWidth="1"/>
    <col min="5127" max="5128" width="7.625" style="568" bestFit="1" customWidth="1"/>
    <col min="5129" max="5129" width="5" style="568" bestFit="1" customWidth="1"/>
    <col min="5130" max="5130" width="8.375" style="568" bestFit="1" customWidth="1"/>
    <col min="5131" max="5131" width="18.75" style="568" bestFit="1" customWidth="1"/>
    <col min="5132" max="5133" width="8.875" style="568" bestFit="1" customWidth="1"/>
    <col min="5134" max="5135" width="9.125" style="568" bestFit="1" customWidth="1"/>
    <col min="5136" max="5137" width="9.375" style="568" bestFit="1" customWidth="1"/>
    <col min="5138" max="5138" width="3.375" style="568" bestFit="1" customWidth="1"/>
    <col min="5139" max="5377" width="9" style="568"/>
    <col min="5378" max="5378" width="6" style="568" bestFit="1" customWidth="1"/>
    <col min="5379" max="5379" width="4.375" style="568" bestFit="1" customWidth="1"/>
    <col min="5380" max="5380" width="13.125" style="568" bestFit="1" customWidth="1"/>
    <col min="5381" max="5381" width="9.375" style="568" bestFit="1" customWidth="1"/>
    <col min="5382" max="5382" width="26.375" style="568" bestFit="1" customWidth="1"/>
    <col min="5383" max="5384" width="7.625" style="568" bestFit="1" customWidth="1"/>
    <col min="5385" max="5385" width="5" style="568" bestFit="1" customWidth="1"/>
    <col min="5386" max="5386" width="8.375" style="568" bestFit="1" customWidth="1"/>
    <col min="5387" max="5387" width="18.75" style="568" bestFit="1" customWidth="1"/>
    <col min="5388" max="5389" width="8.875" style="568" bestFit="1" customWidth="1"/>
    <col min="5390" max="5391" width="9.125" style="568" bestFit="1" customWidth="1"/>
    <col min="5392" max="5393" width="9.375" style="568" bestFit="1" customWidth="1"/>
    <col min="5394" max="5394" width="3.375" style="568" bestFit="1" customWidth="1"/>
    <col min="5395" max="5633" width="9" style="568"/>
    <col min="5634" max="5634" width="6" style="568" bestFit="1" customWidth="1"/>
    <col min="5635" max="5635" width="4.375" style="568" bestFit="1" customWidth="1"/>
    <col min="5636" max="5636" width="13.125" style="568" bestFit="1" customWidth="1"/>
    <col min="5637" max="5637" width="9.375" style="568" bestFit="1" customWidth="1"/>
    <col min="5638" max="5638" width="26.375" style="568" bestFit="1" customWidth="1"/>
    <col min="5639" max="5640" width="7.625" style="568" bestFit="1" customWidth="1"/>
    <col min="5641" max="5641" width="5" style="568" bestFit="1" customWidth="1"/>
    <col min="5642" max="5642" width="8.375" style="568" bestFit="1" customWidth="1"/>
    <col min="5643" max="5643" width="18.75" style="568" bestFit="1" customWidth="1"/>
    <col min="5644" max="5645" width="8.875" style="568" bestFit="1" customWidth="1"/>
    <col min="5646" max="5647" width="9.125" style="568" bestFit="1" customWidth="1"/>
    <col min="5648" max="5649" width="9.375" style="568" bestFit="1" customWidth="1"/>
    <col min="5650" max="5650" width="3.375" style="568" bestFit="1" customWidth="1"/>
    <col min="5651" max="5889" width="9" style="568"/>
    <col min="5890" max="5890" width="6" style="568" bestFit="1" customWidth="1"/>
    <col min="5891" max="5891" width="4.375" style="568" bestFit="1" customWidth="1"/>
    <col min="5892" max="5892" width="13.125" style="568" bestFit="1" customWidth="1"/>
    <col min="5893" max="5893" width="9.375" style="568" bestFit="1" customWidth="1"/>
    <col min="5894" max="5894" width="26.375" style="568" bestFit="1" customWidth="1"/>
    <col min="5895" max="5896" width="7.625" style="568" bestFit="1" customWidth="1"/>
    <col min="5897" max="5897" width="5" style="568" bestFit="1" customWidth="1"/>
    <col min="5898" max="5898" width="8.375" style="568" bestFit="1" customWidth="1"/>
    <col min="5899" max="5899" width="18.75" style="568" bestFit="1" customWidth="1"/>
    <col min="5900" max="5901" width="8.875" style="568" bestFit="1" customWidth="1"/>
    <col min="5902" max="5903" width="9.125" style="568" bestFit="1" customWidth="1"/>
    <col min="5904" max="5905" width="9.375" style="568" bestFit="1" customWidth="1"/>
    <col min="5906" max="5906" width="3.375" style="568" bestFit="1" customWidth="1"/>
    <col min="5907" max="6145" width="9" style="568"/>
    <col min="6146" max="6146" width="6" style="568" bestFit="1" customWidth="1"/>
    <col min="6147" max="6147" width="4.375" style="568" bestFit="1" customWidth="1"/>
    <col min="6148" max="6148" width="13.125" style="568" bestFit="1" customWidth="1"/>
    <col min="6149" max="6149" width="9.375" style="568" bestFit="1" customWidth="1"/>
    <col min="6150" max="6150" width="26.375" style="568" bestFit="1" customWidth="1"/>
    <col min="6151" max="6152" width="7.625" style="568" bestFit="1" customWidth="1"/>
    <col min="6153" max="6153" width="5" style="568" bestFit="1" customWidth="1"/>
    <col min="6154" max="6154" width="8.375" style="568" bestFit="1" customWidth="1"/>
    <col min="6155" max="6155" width="18.75" style="568" bestFit="1" customWidth="1"/>
    <col min="6156" max="6157" width="8.875" style="568" bestFit="1" customWidth="1"/>
    <col min="6158" max="6159" width="9.125" style="568" bestFit="1" customWidth="1"/>
    <col min="6160" max="6161" width="9.375" style="568" bestFit="1" customWidth="1"/>
    <col min="6162" max="6162" width="3.375" style="568" bestFit="1" customWidth="1"/>
    <col min="6163" max="6401" width="9" style="568"/>
    <col min="6402" max="6402" width="6" style="568" bestFit="1" customWidth="1"/>
    <col min="6403" max="6403" width="4.375" style="568" bestFit="1" customWidth="1"/>
    <col min="6404" max="6404" width="13.125" style="568" bestFit="1" customWidth="1"/>
    <col min="6405" max="6405" width="9.375" style="568" bestFit="1" customWidth="1"/>
    <col min="6406" max="6406" width="26.375" style="568" bestFit="1" customWidth="1"/>
    <col min="6407" max="6408" width="7.625" style="568" bestFit="1" customWidth="1"/>
    <col min="6409" max="6409" width="5" style="568" bestFit="1" customWidth="1"/>
    <col min="6410" max="6410" width="8.375" style="568" bestFit="1" customWidth="1"/>
    <col min="6411" max="6411" width="18.75" style="568" bestFit="1" customWidth="1"/>
    <col min="6412" max="6413" width="8.875" style="568" bestFit="1" customWidth="1"/>
    <col min="6414" max="6415" width="9.125" style="568" bestFit="1" customWidth="1"/>
    <col min="6416" max="6417" width="9.375" style="568" bestFit="1" customWidth="1"/>
    <col min="6418" max="6418" width="3.375" style="568" bestFit="1" customWidth="1"/>
    <col min="6419" max="6657" width="9" style="568"/>
    <col min="6658" max="6658" width="6" style="568" bestFit="1" customWidth="1"/>
    <col min="6659" max="6659" width="4.375" style="568" bestFit="1" customWidth="1"/>
    <col min="6660" max="6660" width="13.125" style="568" bestFit="1" customWidth="1"/>
    <col min="6661" max="6661" width="9.375" style="568" bestFit="1" customWidth="1"/>
    <col min="6662" max="6662" width="26.375" style="568" bestFit="1" customWidth="1"/>
    <col min="6663" max="6664" width="7.625" style="568" bestFit="1" customWidth="1"/>
    <col min="6665" max="6665" width="5" style="568" bestFit="1" customWidth="1"/>
    <col min="6666" max="6666" width="8.375" style="568" bestFit="1" customWidth="1"/>
    <col min="6667" max="6667" width="18.75" style="568" bestFit="1" customWidth="1"/>
    <col min="6668" max="6669" width="8.875" style="568" bestFit="1" customWidth="1"/>
    <col min="6670" max="6671" width="9.125" style="568" bestFit="1" customWidth="1"/>
    <col min="6672" max="6673" width="9.375" style="568" bestFit="1" customWidth="1"/>
    <col min="6674" max="6674" width="3.375" style="568" bestFit="1" customWidth="1"/>
    <col min="6675" max="6913" width="9" style="568"/>
    <col min="6914" max="6914" width="6" style="568" bestFit="1" customWidth="1"/>
    <col min="6915" max="6915" width="4.375" style="568" bestFit="1" customWidth="1"/>
    <col min="6916" max="6916" width="13.125" style="568" bestFit="1" customWidth="1"/>
    <col min="6917" max="6917" width="9.375" style="568" bestFit="1" customWidth="1"/>
    <col min="6918" max="6918" width="26.375" style="568" bestFit="1" customWidth="1"/>
    <col min="6919" max="6920" width="7.625" style="568" bestFit="1" customWidth="1"/>
    <col min="6921" max="6921" width="5" style="568" bestFit="1" customWidth="1"/>
    <col min="6922" max="6922" width="8.375" style="568" bestFit="1" customWidth="1"/>
    <col min="6923" max="6923" width="18.75" style="568" bestFit="1" customWidth="1"/>
    <col min="6924" max="6925" width="8.875" style="568" bestFit="1" customWidth="1"/>
    <col min="6926" max="6927" width="9.125" style="568" bestFit="1" customWidth="1"/>
    <col min="6928" max="6929" width="9.375" style="568" bestFit="1" customWidth="1"/>
    <col min="6930" max="6930" width="3.375" style="568" bestFit="1" customWidth="1"/>
    <col min="6931" max="7169" width="9" style="568"/>
    <col min="7170" max="7170" width="6" style="568" bestFit="1" customWidth="1"/>
    <col min="7171" max="7171" width="4.375" style="568" bestFit="1" customWidth="1"/>
    <col min="7172" max="7172" width="13.125" style="568" bestFit="1" customWidth="1"/>
    <col min="7173" max="7173" width="9.375" style="568" bestFit="1" customWidth="1"/>
    <col min="7174" max="7174" width="26.375" style="568" bestFit="1" customWidth="1"/>
    <col min="7175" max="7176" width="7.625" style="568" bestFit="1" customWidth="1"/>
    <col min="7177" max="7177" width="5" style="568" bestFit="1" customWidth="1"/>
    <col min="7178" max="7178" width="8.375" style="568" bestFit="1" customWidth="1"/>
    <col min="7179" max="7179" width="18.75" style="568" bestFit="1" customWidth="1"/>
    <col min="7180" max="7181" width="8.875" style="568" bestFit="1" customWidth="1"/>
    <col min="7182" max="7183" width="9.125" style="568" bestFit="1" customWidth="1"/>
    <col min="7184" max="7185" width="9.375" style="568" bestFit="1" customWidth="1"/>
    <col min="7186" max="7186" width="3.375" style="568" bestFit="1" customWidth="1"/>
    <col min="7187" max="7425" width="9" style="568"/>
    <col min="7426" max="7426" width="6" style="568" bestFit="1" customWidth="1"/>
    <col min="7427" max="7427" width="4.375" style="568" bestFit="1" customWidth="1"/>
    <col min="7428" max="7428" width="13.125" style="568" bestFit="1" customWidth="1"/>
    <col min="7429" max="7429" width="9.375" style="568" bestFit="1" customWidth="1"/>
    <col min="7430" max="7430" width="26.375" style="568" bestFit="1" customWidth="1"/>
    <col min="7431" max="7432" width="7.625" style="568" bestFit="1" customWidth="1"/>
    <col min="7433" max="7433" width="5" style="568" bestFit="1" customWidth="1"/>
    <col min="7434" max="7434" width="8.375" style="568" bestFit="1" customWidth="1"/>
    <col min="7435" max="7435" width="18.75" style="568" bestFit="1" customWidth="1"/>
    <col min="7436" max="7437" width="8.875" style="568" bestFit="1" customWidth="1"/>
    <col min="7438" max="7439" width="9.125" style="568" bestFit="1" customWidth="1"/>
    <col min="7440" max="7441" width="9.375" style="568" bestFit="1" customWidth="1"/>
    <col min="7442" max="7442" width="3.375" style="568" bestFit="1" customWidth="1"/>
    <col min="7443" max="7681" width="9" style="568"/>
    <col min="7682" max="7682" width="6" style="568" bestFit="1" customWidth="1"/>
    <col min="7683" max="7683" width="4.375" style="568" bestFit="1" customWidth="1"/>
    <col min="7684" max="7684" width="13.125" style="568" bestFit="1" customWidth="1"/>
    <col min="7685" max="7685" width="9.375" style="568" bestFit="1" customWidth="1"/>
    <col min="7686" max="7686" width="26.375" style="568" bestFit="1" customWidth="1"/>
    <col min="7687" max="7688" width="7.625" style="568" bestFit="1" customWidth="1"/>
    <col min="7689" max="7689" width="5" style="568" bestFit="1" customWidth="1"/>
    <col min="7690" max="7690" width="8.375" style="568" bestFit="1" customWidth="1"/>
    <col min="7691" max="7691" width="18.75" style="568" bestFit="1" customWidth="1"/>
    <col min="7692" max="7693" width="8.875" style="568" bestFit="1" customWidth="1"/>
    <col min="7694" max="7695" width="9.125" style="568" bestFit="1" customWidth="1"/>
    <col min="7696" max="7697" width="9.375" style="568" bestFit="1" customWidth="1"/>
    <col min="7698" max="7698" width="3.375" style="568" bestFit="1" customWidth="1"/>
    <col min="7699" max="7937" width="9" style="568"/>
    <col min="7938" max="7938" width="6" style="568" bestFit="1" customWidth="1"/>
    <col min="7939" max="7939" width="4.375" style="568" bestFit="1" customWidth="1"/>
    <col min="7940" max="7940" width="13.125" style="568" bestFit="1" customWidth="1"/>
    <col min="7941" max="7941" width="9.375" style="568" bestFit="1" customWidth="1"/>
    <col min="7942" max="7942" width="26.375" style="568" bestFit="1" customWidth="1"/>
    <col min="7943" max="7944" width="7.625" style="568" bestFit="1" customWidth="1"/>
    <col min="7945" max="7945" width="5" style="568" bestFit="1" customWidth="1"/>
    <col min="7946" max="7946" width="8.375" style="568" bestFit="1" customWidth="1"/>
    <col min="7947" max="7947" width="18.75" style="568" bestFit="1" customWidth="1"/>
    <col min="7948" max="7949" width="8.875" style="568" bestFit="1" customWidth="1"/>
    <col min="7950" max="7951" width="9.125" style="568" bestFit="1" customWidth="1"/>
    <col min="7952" max="7953" width="9.375" style="568" bestFit="1" customWidth="1"/>
    <col min="7954" max="7954" width="3.375" style="568" bestFit="1" customWidth="1"/>
    <col min="7955" max="8193" width="9" style="568"/>
    <col min="8194" max="8194" width="6" style="568" bestFit="1" customWidth="1"/>
    <col min="8195" max="8195" width="4.375" style="568" bestFit="1" customWidth="1"/>
    <col min="8196" max="8196" width="13.125" style="568" bestFit="1" customWidth="1"/>
    <col min="8197" max="8197" width="9.375" style="568" bestFit="1" customWidth="1"/>
    <col min="8198" max="8198" width="26.375" style="568" bestFit="1" customWidth="1"/>
    <col min="8199" max="8200" width="7.625" style="568" bestFit="1" customWidth="1"/>
    <col min="8201" max="8201" width="5" style="568" bestFit="1" customWidth="1"/>
    <col min="8202" max="8202" width="8.375" style="568" bestFit="1" customWidth="1"/>
    <col min="8203" max="8203" width="18.75" style="568" bestFit="1" customWidth="1"/>
    <col min="8204" max="8205" width="8.875" style="568" bestFit="1" customWidth="1"/>
    <col min="8206" max="8207" width="9.125" style="568" bestFit="1" customWidth="1"/>
    <col min="8208" max="8209" width="9.375" style="568" bestFit="1" customWidth="1"/>
    <col min="8210" max="8210" width="3.375" style="568" bestFit="1" customWidth="1"/>
    <col min="8211" max="8449" width="9" style="568"/>
    <col min="8450" max="8450" width="6" style="568" bestFit="1" customWidth="1"/>
    <col min="8451" max="8451" width="4.375" style="568" bestFit="1" customWidth="1"/>
    <col min="8452" max="8452" width="13.125" style="568" bestFit="1" customWidth="1"/>
    <col min="8453" max="8453" width="9.375" style="568" bestFit="1" customWidth="1"/>
    <col min="8454" max="8454" width="26.375" style="568" bestFit="1" customWidth="1"/>
    <col min="8455" max="8456" width="7.625" style="568" bestFit="1" customWidth="1"/>
    <col min="8457" max="8457" width="5" style="568" bestFit="1" customWidth="1"/>
    <col min="8458" max="8458" width="8.375" style="568" bestFit="1" customWidth="1"/>
    <col min="8459" max="8459" width="18.75" style="568" bestFit="1" customWidth="1"/>
    <col min="8460" max="8461" width="8.875" style="568" bestFit="1" customWidth="1"/>
    <col min="8462" max="8463" width="9.125" style="568" bestFit="1" customWidth="1"/>
    <col min="8464" max="8465" width="9.375" style="568" bestFit="1" customWidth="1"/>
    <col min="8466" max="8466" width="3.375" style="568" bestFit="1" customWidth="1"/>
    <col min="8467" max="8705" width="9" style="568"/>
    <col min="8706" max="8706" width="6" style="568" bestFit="1" customWidth="1"/>
    <col min="8707" max="8707" width="4.375" style="568" bestFit="1" customWidth="1"/>
    <col min="8708" max="8708" width="13.125" style="568" bestFit="1" customWidth="1"/>
    <col min="8709" max="8709" width="9.375" style="568" bestFit="1" customWidth="1"/>
    <col min="8710" max="8710" width="26.375" style="568" bestFit="1" customWidth="1"/>
    <col min="8711" max="8712" width="7.625" style="568" bestFit="1" customWidth="1"/>
    <col min="8713" max="8713" width="5" style="568" bestFit="1" customWidth="1"/>
    <col min="8714" max="8714" width="8.375" style="568" bestFit="1" customWidth="1"/>
    <col min="8715" max="8715" width="18.75" style="568" bestFit="1" customWidth="1"/>
    <col min="8716" max="8717" width="8.875" style="568" bestFit="1" customWidth="1"/>
    <col min="8718" max="8719" width="9.125" style="568" bestFit="1" customWidth="1"/>
    <col min="8720" max="8721" width="9.375" style="568" bestFit="1" customWidth="1"/>
    <col min="8722" max="8722" width="3.375" style="568" bestFit="1" customWidth="1"/>
    <col min="8723" max="8961" width="9" style="568"/>
    <col min="8962" max="8962" width="6" style="568" bestFit="1" customWidth="1"/>
    <col min="8963" max="8963" width="4.375" style="568" bestFit="1" customWidth="1"/>
    <col min="8964" max="8964" width="13.125" style="568" bestFit="1" customWidth="1"/>
    <col min="8965" max="8965" width="9.375" style="568" bestFit="1" customWidth="1"/>
    <col min="8966" max="8966" width="26.375" style="568" bestFit="1" customWidth="1"/>
    <col min="8967" max="8968" width="7.625" style="568" bestFit="1" customWidth="1"/>
    <col min="8969" max="8969" width="5" style="568" bestFit="1" customWidth="1"/>
    <col min="8970" max="8970" width="8.375" style="568" bestFit="1" customWidth="1"/>
    <col min="8971" max="8971" width="18.75" style="568" bestFit="1" customWidth="1"/>
    <col min="8972" max="8973" width="8.875" style="568" bestFit="1" customWidth="1"/>
    <col min="8974" max="8975" width="9.125" style="568" bestFit="1" customWidth="1"/>
    <col min="8976" max="8977" width="9.375" style="568" bestFit="1" customWidth="1"/>
    <col min="8978" max="8978" width="3.375" style="568" bestFit="1" customWidth="1"/>
    <col min="8979" max="9217" width="9" style="568"/>
    <col min="9218" max="9218" width="6" style="568" bestFit="1" customWidth="1"/>
    <col min="9219" max="9219" width="4.375" style="568" bestFit="1" customWidth="1"/>
    <col min="9220" max="9220" width="13.125" style="568" bestFit="1" customWidth="1"/>
    <col min="9221" max="9221" width="9.375" style="568" bestFit="1" customWidth="1"/>
    <col min="9222" max="9222" width="26.375" style="568" bestFit="1" customWidth="1"/>
    <col min="9223" max="9224" width="7.625" style="568" bestFit="1" customWidth="1"/>
    <col min="9225" max="9225" width="5" style="568" bestFit="1" customWidth="1"/>
    <col min="9226" max="9226" width="8.375" style="568" bestFit="1" customWidth="1"/>
    <col min="9227" max="9227" width="18.75" style="568" bestFit="1" customWidth="1"/>
    <col min="9228" max="9229" width="8.875" style="568" bestFit="1" customWidth="1"/>
    <col min="9230" max="9231" width="9.125" style="568" bestFit="1" customWidth="1"/>
    <col min="9232" max="9233" width="9.375" style="568" bestFit="1" customWidth="1"/>
    <col min="9234" max="9234" width="3.375" style="568" bestFit="1" customWidth="1"/>
    <col min="9235" max="9473" width="9" style="568"/>
    <col min="9474" max="9474" width="6" style="568" bestFit="1" customWidth="1"/>
    <col min="9475" max="9475" width="4.375" style="568" bestFit="1" customWidth="1"/>
    <col min="9476" max="9476" width="13.125" style="568" bestFit="1" customWidth="1"/>
    <col min="9477" max="9477" width="9.375" style="568" bestFit="1" customWidth="1"/>
    <col min="9478" max="9478" width="26.375" style="568" bestFit="1" customWidth="1"/>
    <col min="9479" max="9480" width="7.625" style="568" bestFit="1" customWidth="1"/>
    <col min="9481" max="9481" width="5" style="568" bestFit="1" customWidth="1"/>
    <col min="9482" max="9482" width="8.375" style="568" bestFit="1" customWidth="1"/>
    <col min="9483" max="9483" width="18.75" style="568" bestFit="1" customWidth="1"/>
    <col min="9484" max="9485" width="8.875" style="568" bestFit="1" customWidth="1"/>
    <col min="9486" max="9487" width="9.125" style="568" bestFit="1" customWidth="1"/>
    <col min="9488" max="9489" width="9.375" style="568" bestFit="1" customWidth="1"/>
    <col min="9490" max="9490" width="3.375" style="568" bestFit="1" customWidth="1"/>
    <col min="9491" max="9729" width="9" style="568"/>
    <col min="9730" max="9730" width="6" style="568" bestFit="1" customWidth="1"/>
    <col min="9731" max="9731" width="4.375" style="568" bestFit="1" customWidth="1"/>
    <col min="9732" max="9732" width="13.125" style="568" bestFit="1" customWidth="1"/>
    <col min="9733" max="9733" width="9.375" style="568" bestFit="1" customWidth="1"/>
    <col min="9734" max="9734" width="26.375" style="568" bestFit="1" customWidth="1"/>
    <col min="9735" max="9736" width="7.625" style="568" bestFit="1" customWidth="1"/>
    <col min="9737" max="9737" width="5" style="568" bestFit="1" customWidth="1"/>
    <col min="9738" max="9738" width="8.375" style="568" bestFit="1" customWidth="1"/>
    <col min="9739" max="9739" width="18.75" style="568" bestFit="1" customWidth="1"/>
    <col min="9740" max="9741" width="8.875" style="568" bestFit="1" customWidth="1"/>
    <col min="9742" max="9743" width="9.125" style="568" bestFit="1" customWidth="1"/>
    <col min="9744" max="9745" width="9.375" style="568" bestFit="1" customWidth="1"/>
    <col min="9746" max="9746" width="3.375" style="568" bestFit="1" customWidth="1"/>
    <col min="9747" max="9985" width="9" style="568"/>
    <col min="9986" max="9986" width="6" style="568" bestFit="1" customWidth="1"/>
    <col min="9987" max="9987" width="4.375" style="568" bestFit="1" customWidth="1"/>
    <col min="9988" max="9988" width="13.125" style="568" bestFit="1" customWidth="1"/>
    <col min="9989" max="9989" width="9.375" style="568" bestFit="1" customWidth="1"/>
    <col min="9990" max="9990" width="26.375" style="568" bestFit="1" customWidth="1"/>
    <col min="9991" max="9992" width="7.625" style="568" bestFit="1" customWidth="1"/>
    <col min="9993" max="9993" width="5" style="568" bestFit="1" customWidth="1"/>
    <col min="9994" max="9994" width="8.375" style="568" bestFit="1" customWidth="1"/>
    <col min="9995" max="9995" width="18.75" style="568" bestFit="1" customWidth="1"/>
    <col min="9996" max="9997" width="8.875" style="568" bestFit="1" customWidth="1"/>
    <col min="9998" max="9999" width="9.125" style="568" bestFit="1" customWidth="1"/>
    <col min="10000" max="10001" width="9.375" style="568" bestFit="1" customWidth="1"/>
    <col min="10002" max="10002" width="3.375" style="568" bestFit="1" customWidth="1"/>
    <col min="10003" max="10241" width="9" style="568"/>
    <col min="10242" max="10242" width="6" style="568" bestFit="1" customWidth="1"/>
    <col min="10243" max="10243" width="4.375" style="568" bestFit="1" customWidth="1"/>
    <col min="10244" max="10244" width="13.125" style="568" bestFit="1" customWidth="1"/>
    <col min="10245" max="10245" width="9.375" style="568" bestFit="1" customWidth="1"/>
    <col min="10246" max="10246" width="26.375" style="568" bestFit="1" customWidth="1"/>
    <col min="10247" max="10248" width="7.625" style="568" bestFit="1" customWidth="1"/>
    <col min="10249" max="10249" width="5" style="568" bestFit="1" customWidth="1"/>
    <col min="10250" max="10250" width="8.375" style="568" bestFit="1" customWidth="1"/>
    <col min="10251" max="10251" width="18.75" style="568" bestFit="1" customWidth="1"/>
    <col min="10252" max="10253" width="8.875" style="568" bestFit="1" customWidth="1"/>
    <col min="10254" max="10255" width="9.125" style="568" bestFit="1" customWidth="1"/>
    <col min="10256" max="10257" width="9.375" style="568" bestFit="1" customWidth="1"/>
    <col min="10258" max="10258" width="3.375" style="568" bestFit="1" customWidth="1"/>
    <col min="10259" max="10497" width="9" style="568"/>
    <col min="10498" max="10498" width="6" style="568" bestFit="1" customWidth="1"/>
    <col min="10499" max="10499" width="4.375" style="568" bestFit="1" customWidth="1"/>
    <col min="10500" max="10500" width="13.125" style="568" bestFit="1" customWidth="1"/>
    <col min="10501" max="10501" width="9.375" style="568" bestFit="1" customWidth="1"/>
    <col min="10502" max="10502" width="26.375" style="568" bestFit="1" customWidth="1"/>
    <col min="10503" max="10504" width="7.625" style="568" bestFit="1" customWidth="1"/>
    <col min="10505" max="10505" width="5" style="568" bestFit="1" customWidth="1"/>
    <col min="10506" max="10506" width="8.375" style="568" bestFit="1" customWidth="1"/>
    <col min="10507" max="10507" width="18.75" style="568" bestFit="1" customWidth="1"/>
    <col min="10508" max="10509" width="8.875" style="568" bestFit="1" customWidth="1"/>
    <col min="10510" max="10511" width="9.125" style="568" bestFit="1" customWidth="1"/>
    <col min="10512" max="10513" width="9.375" style="568" bestFit="1" customWidth="1"/>
    <col min="10514" max="10514" width="3.375" style="568" bestFit="1" customWidth="1"/>
    <col min="10515" max="10753" width="9" style="568"/>
    <col min="10754" max="10754" width="6" style="568" bestFit="1" customWidth="1"/>
    <col min="10755" max="10755" width="4.375" style="568" bestFit="1" customWidth="1"/>
    <col min="10756" max="10756" width="13.125" style="568" bestFit="1" customWidth="1"/>
    <col min="10757" max="10757" width="9.375" style="568" bestFit="1" customWidth="1"/>
    <col min="10758" max="10758" width="26.375" style="568" bestFit="1" customWidth="1"/>
    <col min="10759" max="10760" width="7.625" style="568" bestFit="1" customWidth="1"/>
    <col min="10761" max="10761" width="5" style="568" bestFit="1" customWidth="1"/>
    <col min="10762" max="10762" width="8.375" style="568" bestFit="1" customWidth="1"/>
    <col min="10763" max="10763" width="18.75" style="568" bestFit="1" customWidth="1"/>
    <col min="10764" max="10765" width="8.875" style="568" bestFit="1" customWidth="1"/>
    <col min="10766" max="10767" width="9.125" style="568" bestFit="1" customWidth="1"/>
    <col min="10768" max="10769" width="9.375" style="568" bestFit="1" customWidth="1"/>
    <col min="10770" max="10770" width="3.375" style="568" bestFit="1" customWidth="1"/>
    <col min="10771" max="11009" width="9" style="568"/>
    <col min="11010" max="11010" width="6" style="568" bestFit="1" customWidth="1"/>
    <col min="11011" max="11011" width="4.375" style="568" bestFit="1" customWidth="1"/>
    <col min="11012" max="11012" width="13.125" style="568" bestFit="1" customWidth="1"/>
    <col min="11013" max="11013" width="9.375" style="568" bestFit="1" customWidth="1"/>
    <col min="11014" max="11014" width="26.375" style="568" bestFit="1" customWidth="1"/>
    <col min="11015" max="11016" width="7.625" style="568" bestFit="1" customWidth="1"/>
    <col min="11017" max="11017" width="5" style="568" bestFit="1" customWidth="1"/>
    <col min="11018" max="11018" width="8.375" style="568" bestFit="1" customWidth="1"/>
    <col min="11019" max="11019" width="18.75" style="568" bestFit="1" customWidth="1"/>
    <col min="11020" max="11021" width="8.875" style="568" bestFit="1" customWidth="1"/>
    <col min="11022" max="11023" width="9.125" style="568" bestFit="1" customWidth="1"/>
    <col min="11024" max="11025" width="9.375" style="568" bestFit="1" customWidth="1"/>
    <col min="11026" max="11026" width="3.375" style="568" bestFit="1" customWidth="1"/>
    <col min="11027" max="11265" width="9" style="568"/>
    <col min="11266" max="11266" width="6" style="568" bestFit="1" customWidth="1"/>
    <col min="11267" max="11267" width="4.375" style="568" bestFit="1" customWidth="1"/>
    <col min="11268" max="11268" width="13.125" style="568" bestFit="1" customWidth="1"/>
    <col min="11269" max="11269" width="9.375" style="568" bestFit="1" customWidth="1"/>
    <col min="11270" max="11270" width="26.375" style="568" bestFit="1" customWidth="1"/>
    <col min="11271" max="11272" width="7.625" style="568" bestFit="1" customWidth="1"/>
    <col min="11273" max="11273" width="5" style="568" bestFit="1" customWidth="1"/>
    <col min="11274" max="11274" width="8.375" style="568" bestFit="1" customWidth="1"/>
    <col min="11275" max="11275" width="18.75" style="568" bestFit="1" customWidth="1"/>
    <col min="11276" max="11277" width="8.875" style="568" bestFit="1" customWidth="1"/>
    <col min="11278" max="11279" width="9.125" style="568" bestFit="1" customWidth="1"/>
    <col min="11280" max="11281" width="9.375" style="568" bestFit="1" customWidth="1"/>
    <col min="11282" max="11282" width="3.375" style="568" bestFit="1" customWidth="1"/>
    <col min="11283" max="11521" width="9" style="568"/>
    <col min="11522" max="11522" width="6" style="568" bestFit="1" customWidth="1"/>
    <col min="11523" max="11523" width="4.375" style="568" bestFit="1" customWidth="1"/>
    <col min="11524" max="11524" width="13.125" style="568" bestFit="1" customWidth="1"/>
    <col min="11525" max="11525" width="9.375" style="568" bestFit="1" customWidth="1"/>
    <col min="11526" max="11526" width="26.375" style="568" bestFit="1" customWidth="1"/>
    <col min="11527" max="11528" width="7.625" style="568" bestFit="1" customWidth="1"/>
    <col min="11529" max="11529" width="5" style="568" bestFit="1" customWidth="1"/>
    <col min="11530" max="11530" width="8.375" style="568" bestFit="1" customWidth="1"/>
    <col min="11531" max="11531" width="18.75" style="568" bestFit="1" customWidth="1"/>
    <col min="11532" max="11533" width="8.875" style="568" bestFit="1" customWidth="1"/>
    <col min="11534" max="11535" width="9.125" style="568" bestFit="1" customWidth="1"/>
    <col min="11536" max="11537" width="9.375" style="568" bestFit="1" customWidth="1"/>
    <col min="11538" max="11538" width="3.375" style="568" bestFit="1" customWidth="1"/>
    <col min="11539" max="11777" width="9" style="568"/>
    <col min="11778" max="11778" width="6" style="568" bestFit="1" customWidth="1"/>
    <col min="11779" max="11779" width="4.375" style="568" bestFit="1" customWidth="1"/>
    <col min="11780" max="11780" width="13.125" style="568" bestFit="1" customWidth="1"/>
    <col min="11781" max="11781" width="9.375" style="568" bestFit="1" customWidth="1"/>
    <col min="11782" max="11782" width="26.375" style="568" bestFit="1" customWidth="1"/>
    <col min="11783" max="11784" width="7.625" style="568" bestFit="1" customWidth="1"/>
    <col min="11785" max="11785" width="5" style="568" bestFit="1" customWidth="1"/>
    <col min="11786" max="11786" width="8.375" style="568" bestFit="1" customWidth="1"/>
    <col min="11787" max="11787" width="18.75" style="568" bestFit="1" customWidth="1"/>
    <col min="11788" max="11789" width="8.875" style="568" bestFit="1" customWidth="1"/>
    <col min="11790" max="11791" width="9.125" style="568" bestFit="1" customWidth="1"/>
    <col min="11792" max="11793" width="9.375" style="568" bestFit="1" customWidth="1"/>
    <col min="11794" max="11794" width="3.375" style="568" bestFit="1" customWidth="1"/>
    <col min="11795" max="12033" width="9" style="568"/>
    <col min="12034" max="12034" width="6" style="568" bestFit="1" customWidth="1"/>
    <col min="12035" max="12035" width="4.375" style="568" bestFit="1" customWidth="1"/>
    <col min="12036" max="12036" width="13.125" style="568" bestFit="1" customWidth="1"/>
    <col min="12037" max="12037" width="9.375" style="568" bestFit="1" customWidth="1"/>
    <col min="12038" max="12038" width="26.375" style="568" bestFit="1" customWidth="1"/>
    <col min="12039" max="12040" width="7.625" style="568" bestFit="1" customWidth="1"/>
    <col min="12041" max="12041" width="5" style="568" bestFit="1" customWidth="1"/>
    <col min="12042" max="12042" width="8.375" style="568" bestFit="1" customWidth="1"/>
    <col min="12043" max="12043" width="18.75" style="568" bestFit="1" customWidth="1"/>
    <col min="12044" max="12045" width="8.875" style="568" bestFit="1" customWidth="1"/>
    <col min="12046" max="12047" width="9.125" style="568" bestFit="1" customWidth="1"/>
    <col min="12048" max="12049" width="9.375" style="568" bestFit="1" customWidth="1"/>
    <col min="12050" max="12050" width="3.375" style="568" bestFit="1" customWidth="1"/>
    <col min="12051" max="12289" width="9" style="568"/>
    <col min="12290" max="12290" width="6" style="568" bestFit="1" customWidth="1"/>
    <col min="12291" max="12291" width="4.375" style="568" bestFit="1" customWidth="1"/>
    <col min="12292" max="12292" width="13.125" style="568" bestFit="1" customWidth="1"/>
    <col min="12293" max="12293" width="9.375" style="568" bestFit="1" customWidth="1"/>
    <col min="12294" max="12294" width="26.375" style="568" bestFit="1" customWidth="1"/>
    <col min="12295" max="12296" width="7.625" style="568" bestFit="1" customWidth="1"/>
    <col min="12297" max="12297" width="5" style="568" bestFit="1" customWidth="1"/>
    <col min="12298" max="12298" width="8.375" style="568" bestFit="1" customWidth="1"/>
    <col min="12299" max="12299" width="18.75" style="568" bestFit="1" customWidth="1"/>
    <col min="12300" max="12301" width="8.875" style="568" bestFit="1" customWidth="1"/>
    <col min="12302" max="12303" width="9.125" style="568" bestFit="1" customWidth="1"/>
    <col min="12304" max="12305" width="9.375" style="568" bestFit="1" customWidth="1"/>
    <col min="12306" max="12306" width="3.375" style="568" bestFit="1" customWidth="1"/>
    <col min="12307" max="12545" width="9" style="568"/>
    <col min="12546" max="12546" width="6" style="568" bestFit="1" customWidth="1"/>
    <col min="12547" max="12547" width="4.375" style="568" bestFit="1" customWidth="1"/>
    <col min="12548" max="12548" width="13.125" style="568" bestFit="1" customWidth="1"/>
    <col min="12549" max="12549" width="9.375" style="568" bestFit="1" customWidth="1"/>
    <col min="12550" max="12550" width="26.375" style="568" bestFit="1" customWidth="1"/>
    <col min="12551" max="12552" width="7.625" style="568" bestFit="1" customWidth="1"/>
    <col min="12553" max="12553" width="5" style="568" bestFit="1" customWidth="1"/>
    <col min="12554" max="12554" width="8.375" style="568" bestFit="1" customWidth="1"/>
    <col min="12555" max="12555" width="18.75" style="568" bestFit="1" customWidth="1"/>
    <col min="12556" max="12557" width="8.875" style="568" bestFit="1" customWidth="1"/>
    <col min="12558" max="12559" width="9.125" style="568" bestFit="1" customWidth="1"/>
    <col min="12560" max="12561" width="9.375" style="568" bestFit="1" customWidth="1"/>
    <col min="12562" max="12562" width="3.375" style="568" bestFit="1" customWidth="1"/>
    <col min="12563" max="12801" width="9" style="568"/>
    <col min="12802" max="12802" width="6" style="568" bestFit="1" customWidth="1"/>
    <col min="12803" max="12803" width="4.375" style="568" bestFit="1" customWidth="1"/>
    <col min="12804" max="12804" width="13.125" style="568" bestFit="1" customWidth="1"/>
    <col min="12805" max="12805" width="9.375" style="568" bestFit="1" customWidth="1"/>
    <col min="12806" max="12806" width="26.375" style="568" bestFit="1" customWidth="1"/>
    <col min="12807" max="12808" width="7.625" style="568" bestFit="1" customWidth="1"/>
    <col min="12809" max="12809" width="5" style="568" bestFit="1" customWidth="1"/>
    <col min="12810" max="12810" width="8.375" style="568" bestFit="1" customWidth="1"/>
    <col min="12811" max="12811" width="18.75" style="568" bestFit="1" customWidth="1"/>
    <col min="12812" max="12813" width="8.875" style="568" bestFit="1" customWidth="1"/>
    <col min="12814" max="12815" width="9.125" style="568" bestFit="1" customWidth="1"/>
    <col min="12816" max="12817" width="9.375" style="568" bestFit="1" customWidth="1"/>
    <col min="12818" max="12818" width="3.375" style="568" bestFit="1" customWidth="1"/>
    <col min="12819" max="13057" width="9" style="568"/>
    <col min="13058" max="13058" width="6" style="568" bestFit="1" customWidth="1"/>
    <col min="13059" max="13059" width="4.375" style="568" bestFit="1" customWidth="1"/>
    <col min="13060" max="13060" width="13.125" style="568" bestFit="1" customWidth="1"/>
    <col min="13061" max="13061" width="9.375" style="568" bestFit="1" customWidth="1"/>
    <col min="13062" max="13062" width="26.375" style="568" bestFit="1" customWidth="1"/>
    <col min="13063" max="13064" width="7.625" style="568" bestFit="1" customWidth="1"/>
    <col min="13065" max="13065" width="5" style="568" bestFit="1" customWidth="1"/>
    <col min="13066" max="13066" width="8.375" style="568" bestFit="1" customWidth="1"/>
    <col min="13067" max="13067" width="18.75" style="568" bestFit="1" customWidth="1"/>
    <col min="13068" max="13069" width="8.875" style="568" bestFit="1" customWidth="1"/>
    <col min="13070" max="13071" width="9.125" style="568" bestFit="1" customWidth="1"/>
    <col min="13072" max="13073" width="9.375" style="568" bestFit="1" customWidth="1"/>
    <col min="13074" max="13074" width="3.375" style="568" bestFit="1" customWidth="1"/>
    <col min="13075" max="13313" width="9" style="568"/>
    <col min="13314" max="13314" width="6" style="568" bestFit="1" customWidth="1"/>
    <col min="13315" max="13315" width="4.375" style="568" bestFit="1" customWidth="1"/>
    <col min="13316" max="13316" width="13.125" style="568" bestFit="1" customWidth="1"/>
    <col min="13317" max="13317" width="9.375" style="568" bestFit="1" customWidth="1"/>
    <col min="13318" max="13318" width="26.375" style="568" bestFit="1" customWidth="1"/>
    <col min="13319" max="13320" width="7.625" style="568" bestFit="1" customWidth="1"/>
    <col min="13321" max="13321" width="5" style="568" bestFit="1" customWidth="1"/>
    <col min="13322" max="13322" width="8.375" style="568" bestFit="1" customWidth="1"/>
    <col min="13323" max="13323" width="18.75" style="568" bestFit="1" customWidth="1"/>
    <col min="13324" max="13325" width="8.875" style="568" bestFit="1" customWidth="1"/>
    <col min="13326" max="13327" width="9.125" style="568" bestFit="1" customWidth="1"/>
    <col min="13328" max="13329" width="9.375" style="568" bestFit="1" customWidth="1"/>
    <col min="13330" max="13330" width="3.375" style="568" bestFit="1" customWidth="1"/>
    <col min="13331" max="13569" width="9" style="568"/>
    <col min="13570" max="13570" width="6" style="568" bestFit="1" customWidth="1"/>
    <col min="13571" max="13571" width="4.375" style="568" bestFit="1" customWidth="1"/>
    <col min="13572" max="13572" width="13.125" style="568" bestFit="1" customWidth="1"/>
    <col min="13573" max="13573" width="9.375" style="568" bestFit="1" customWidth="1"/>
    <col min="13574" max="13574" width="26.375" style="568" bestFit="1" customWidth="1"/>
    <col min="13575" max="13576" width="7.625" style="568" bestFit="1" customWidth="1"/>
    <col min="13577" max="13577" width="5" style="568" bestFit="1" customWidth="1"/>
    <col min="13578" max="13578" width="8.375" style="568" bestFit="1" customWidth="1"/>
    <col min="13579" max="13579" width="18.75" style="568" bestFit="1" customWidth="1"/>
    <col min="13580" max="13581" width="8.875" style="568" bestFit="1" customWidth="1"/>
    <col min="13582" max="13583" width="9.125" style="568" bestFit="1" customWidth="1"/>
    <col min="13584" max="13585" width="9.375" style="568" bestFit="1" customWidth="1"/>
    <col min="13586" max="13586" width="3.375" style="568" bestFit="1" customWidth="1"/>
    <col min="13587" max="13825" width="9" style="568"/>
    <col min="13826" max="13826" width="6" style="568" bestFit="1" customWidth="1"/>
    <col min="13827" max="13827" width="4.375" style="568" bestFit="1" customWidth="1"/>
    <col min="13828" max="13828" width="13.125" style="568" bestFit="1" customWidth="1"/>
    <col min="13829" max="13829" width="9.375" style="568" bestFit="1" customWidth="1"/>
    <col min="13830" max="13830" width="26.375" style="568" bestFit="1" customWidth="1"/>
    <col min="13831" max="13832" width="7.625" style="568" bestFit="1" customWidth="1"/>
    <col min="13833" max="13833" width="5" style="568" bestFit="1" customWidth="1"/>
    <col min="13834" max="13834" width="8.375" style="568" bestFit="1" customWidth="1"/>
    <col min="13835" max="13835" width="18.75" style="568" bestFit="1" customWidth="1"/>
    <col min="13836" max="13837" width="8.875" style="568" bestFit="1" customWidth="1"/>
    <col min="13838" max="13839" width="9.125" style="568" bestFit="1" customWidth="1"/>
    <col min="13840" max="13841" width="9.375" style="568" bestFit="1" customWidth="1"/>
    <col min="13842" max="13842" width="3.375" style="568" bestFit="1" customWidth="1"/>
    <col min="13843" max="14081" width="9" style="568"/>
    <col min="14082" max="14082" width="6" style="568" bestFit="1" customWidth="1"/>
    <col min="14083" max="14083" width="4.375" style="568" bestFit="1" customWidth="1"/>
    <col min="14084" max="14084" width="13.125" style="568" bestFit="1" customWidth="1"/>
    <col min="14085" max="14085" width="9.375" style="568" bestFit="1" customWidth="1"/>
    <col min="14086" max="14086" width="26.375" style="568" bestFit="1" customWidth="1"/>
    <col min="14087" max="14088" width="7.625" style="568" bestFit="1" customWidth="1"/>
    <col min="14089" max="14089" width="5" style="568" bestFit="1" customWidth="1"/>
    <col min="14090" max="14090" width="8.375" style="568" bestFit="1" customWidth="1"/>
    <col min="14091" max="14091" width="18.75" style="568" bestFit="1" customWidth="1"/>
    <col min="14092" max="14093" width="8.875" style="568" bestFit="1" customWidth="1"/>
    <col min="14094" max="14095" width="9.125" style="568" bestFit="1" customWidth="1"/>
    <col min="14096" max="14097" width="9.375" style="568" bestFit="1" customWidth="1"/>
    <col min="14098" max="14098" width="3.375" style="568" bestFit="1" customWidth="1"/>
    <col min="14099" max="14337" width="9" style="568"/>
    <col min="14338" max="14338" width="6" style="568" bestFit="1" customWidth="1"/>
    <col min="14339" max="14339" width="4.375" style="568" bestFit="1" customWidth="1"/>
    <col min="14340" max="14340" width="13.125" style="568" bestFit="1" customWidth="1"/>
    <col min="14341" max="14341" width="9.375" style="568" bestFit="1" customWidth="1"/>
    <col min="14342" max="14342" width="26.375" style="568" bestFit="1" customWidth="1"/>
    <col min="14343" max="14344" width="7.625" style="568" bestFit="1" customWidth="1"/>
    <col min="14345" max="14345" width="5" style="568" bestFit="1" customWidth="1"/>
    <col min="14346" max="14346" width="8.375" style="568" bestFit="1" customWidth="1"/>
    <col min="14347" max="14347" width="18.75" style="568" bestFit="1" customWidth="1"/>
    <col min="14348" max="14349" width="8.875" style="568" bestFit="1" customWidth="1"/>
    <col min="14350" max="14351" width="9.125" style="568" bestFit="1" customWidth="1"/>
    <col min="14352" max="14353" width="9.375" style="568" bestFit="1" customWidth="1"/>
    <col min="14354" max="14354" width="3.375" style="568" bestFit="1" customWidth="1"/>
    <col min="14355" max="14593" width="9" style="568"/>
    <col min="14594" max="14594" width="6" style="568" bestFit="1" customWidth="1"/>
    <col min="14595" max="14595" width="4.375" style="568" bestFit="1" customWidth="1"/>
    <col min="14596" max="14596" width="13.125" style="568" bestFit="1" customWidth="1"/>
    <col min="14597" max="14597" width="9.375" style="568" bestFit="1" customWidth="1"/>
    <col min="14598" max="14598" width="26.375" style="568" bestFit="1" customWidth="1"/>
    <col min="14599" max="14600" width="7.625" style="568" bestFit="1" customWidth="1"/>
    <col min="14601" max="14601" width="5" style="568" bestFit="1" customWidth="1"/>
    <col min="14602" max="14602" width="8.375" style="568" bestFit="1" customWidth="1"/>
    <col min="14603" max="14603" width="18.75" style="568" bestFit="1" customWidth="1"/>
    <col min="14604" max="14605" width="8.875" style="568" bestFit="1" customWidth="1"/>
    <col min="14606" max="14607" width="9.125" style="568" bestFit="1" customWidth="1"/>
    <col min="14608" max="14609" width="9.375" style="568" bestFit="1" customWidth="1"/>
    <col min="14610" max="14610" width="3.375" style="568" bestFit="1" customWidth="1"/>
    <col min="14611" max="14849" width="9" style="568"/>
    <col min="14850" max="14850" width="6" style="568" bestFit="1" customWidth="1"/>
    <col min="14851" max="14851" width="4.375" style="568" bestFit="1" customWidth="1"/>
    <col min="14852" max="14852" width="13.125" style="568" bestFit="1" customWidth="1"/>
    <col min="14853" max="14853" width="9.375" style="568" bestFit="1" customWidth="1"/>
    <col min="14854" max="14854" width="26.375" style="568" bestFit="1" customWidth="1"/>
    <col min="14855" max="14856" width="7.625" style="568" bestFit="1" customWidth="1"/>
    <col min="14857" max="14857" width="5" style="568" bestFit="1" customWidth="1"/>
    <col min="14858" max="14858" width="8.375" style="568" bestFit="1" customWidth="1"/>
    <col min="14859" max="14859" width="18.75" style="568" bestFit="1" customWidth="1"/>
    <col min="14860" max="14861" width="8.875" style="568" bestFit="1" customWidth="1"/>
    <col min="14862" max="14863" width="9.125" style="568" bestFit="1" customWidth="1"/>
    <col min="14864" max="14865" width="9.375" style="568" bestFit="1" customWidth="1"/>
    <col min="14866" max="14866" width="3.375" style="568" bestFit="1" customWidth="1"/>
    <col min="14867" max="15105" width="9" style="568"/>
    <col min="15106" max="15106" width="6" style="568" bestFit="1" customWidth="1"/>
    <col min="15107" max="15107" width="4.375" style="568" bestFit="1" customWidth="1"/>
    <col min="15108" max="15108" width="13.125" style="568" bestFit="1" customWidth="1"/>
    <col min="15109" max="15109" width="9.375" style="568" bestFit="1" customWidth="1"/>
    <col min="15110" max="15110" width="26.375" style="568" bestFit="1" customWidth="1"/>
    <col min="15111" max="15112" width="7.625" style="568" bestFit="1" customWidth="1"/>
    <col min="15113" max="15113" width="5" style="568" bestFit="1" customWidth="1"/>
    <col min="15114" max="15114" width="8.375" style="568" bestFit="1" customWidth="1"/>
    <col min="15115" max="15115" width="18.75" style="568" bestFit="1" customWidth="1"/>
    <col min="15116" max="15117" width="8.875" style="568" bestFit="1" customWidth="1"/>
    <col min="15118" max="15119" width="9.125" style="568" bestFit="1" customWidth="1"/>
    <col min="15120" max="15121" width="9.375" style="568" bestFit="1" customWidth="1"/>
    <col min="15122" max="15122" width="3.375" style="568" bestFit="1" customWidth="1"/>
    <col min="15123" max="15361" width="9" style="568"/>
    <col min="15362" max="15362" width="6" style="568" bestFit="1" customWidth="1"/>
    <col min="15363" max="15363" width="4.375" style="568" bestFit="1" customWidth="1"/>
    <col min="15364" max="15364" width="13.125" style="568" bestFit="1" customWidth="1"/>
    <col min="15365" max="15365" width="9.375" style="568" bestFit="1" customWidth="1"/>
    <col min="15366" max="15366" width="26.375" style="568" bestFit="1" customWidth="1"/>
    <col min="15367" max="15368" width="7.625" style="568" bestFit="1" customWidth="1"/>
    <col min="15369" max="15369" width="5" style="568" bestFit="1" customWidth="1"/>
    <col min="15370" max="15370" width="8.375" style="568" bestFit="1" customWidth="1"/>
    <col min="15371" max="15371" width="18.75" style="568" bestFit="1" customWidth="1"/>
    <col min="15372" max="15373" width="8.875" style="568" bestFit="1" customWidth="1"/>
    <col min="15374" max="15375" width="9.125" style="568" bestFit="1" customWidth="1"/>
    <col min="15376" max="15377" width="9.375" style="568" bestFit="1" customWidth="1"/>
    <col min="15378" max="15378" width="3.375" style="568" bestFit="1" customWidth="1"/>
    <col min="15379" max="15617" width="9" style="568"/>
    <col min="15618" max="15618" width="6" style="568" bestFit="1" customWidth="1"/>
    <col min="15619" max="15619" width="4.375" style="568" bestFit="1" customWidth="1"/>
    <col min="15620" max="15620" width="13.125" style="568" bestFit="1" customWidth="1"/>
    <col min="15621" max="15621" width="9.375" style="568" bestFit="1" customWidth="1"/>
    <col min="15622" max="15622" width="26.375" style="568" bestFit="1" customWidth="1"/>
    <col min="15623" max="15624" width="7.625" style="568" bestFit="1" customWidth="1"/>
    <col min="15625" max="15625" width="5" style="568" bestFit="1" customWidth="1"/>
    <col min="15626" max="15626" width="8.375" style="568" bestFit="1" customWidth="1"/>
    <col min="15627" max="15627" width="18.75" style="568" bestFit="1" customWidth="1"/>
    <col min="15628" max="15629" width="8.875" style="568" bestFit="1" customWidth="1"/>
    <col min="15630" max="15631" width="9.125" style="568" bestFit="1" customWidth="1"/>
    <col min="15632" max="15633" width="9.375" style="568" bestFit="1" customWidth="1"/>
    <col min="15634" max="15634" width="3.375" style="568" bestFit="1" customWidth="1"/>
    <col min="15635" max="15873" width="9" style="568"/>
    <col min="15874" max="15874" width="6" style="568" bestFit="1" customWidth="1"/>
    <col min="15875" max="15875" width="4.375" style="568" bestFit="1" customWidth="1"/>
    <col min="15876" max="15876" width="13.125" style="568" bestFit="1" customWidth="1"/>
    <col min="15877" max="15877" width="9.375" style="568" bestFit="1" customWidth="1"/>
    <col min="15878" max="15878" width="26.375" style="568" bestFit="1" customWidth="1"/>
    <col min="15879" max="15880" width="7.625" style="568" bestFit="1" customWidth="1"/>
    <col min="15881" max="15881" width="5" style="568" bestFit="1" customWidth="1"/>
    <col min="15882" max="15882" width="8.375" style="568" bestFit="1" customWidth="1"/>
    <col min="15883" max="15883" width="18.75" style="568" bestFit="1" customWidth="1"/>
    <col min="15884" max="15885" width="8.875" style="568" bestFit="1" customWidth="1"/>
    <col min="15886" max="15887" width="9.125" style="568" bestFit="1" customWidth="1"/>
    <col min="15888" max="15889" width="9.375" style="568" bestFit="1" customWidth="1"/>
    <col min="15890" max="15890" width="3.375" style="568" bestFit="1" customWidth="1"/>
    <col min="15891" max="16129" width="9" style="568"/>
    <col min="16130" max="16130" width="6" style="568" bestFit="1" customWidth="1"/>
    <col min="16131" max="16131" width="4.375" style="568" bestFit="1" customWidth="1"/>
    <col min="16132" max="16132" width="13.125" style="568" bestFit="1" customWidth="1"/>
    <col min="16133" max="16133" width="9.375" style="568" bestFit="1" customWidth="1"/>
    <col min="16134" max="16134" width="26.375" style="568" bestFit="1" customWidth="1"/>
    <col min="16135" max="16136" width="7.625" style="568" bestFit="1" customWidth="1"/>
    <col min="16137" max="16137" width="5" style="568" bestFit="1" customWidth="1"/>
    <col min="16138" max="16138" width="8.375" style="568" bestFit="1" customWidth="1"/>
    <col min="16139" max="16139" width="18.75" style="568" bestFit="1" customWidth="1"/>
    <col min="16140" max="16141" width="8.875" style="568" bestFit="1" customWidth="1"/>
    <col min="16142" max="16143" width="9.125" style="568" bestFit="1" customWidth="1"/>
    <col min="16144" max="16145" width="9.375" style="568" bestFit="1" customWidth="1"/>
    <col min="16146" max="16146" width="3.375" style="568" bestFit="1" customWidth="1"/>
    <col min="16147" max="16384" width="9" style="568"/>
  </cols>
  <sheetData>
    <row r="2" spans="1:18" ht="15" x14ac:dyDescent="0.2">
      <c r="A2" s="567"/>
      <c r="B2" s="567" t="s">
        <v>320</v>
      </c>
      <c r="C2" s="567">
        <v>941</v>
      </c>
    </row>
    <row r="7" spans="1:18" ht="15" x14ac:dyDescent="0.2">
      <c r="A7" s="567"/>
      <c r="B7" s="567"/>
      <c r="C7" s="567"/>
      <c r="D7" s="567" t="s">
        <v>321</v>
      </c>
      <c r="E7" s="567" t="s">
        <v>322</v>
      </c>
      <c r="F7" s="567" t="s">
        <v>323</v>
      </c>
    </row>
    <row r="9" spans="1:18" ht="15" x14ac:dyDescent="0.2">
      <c r="A9" s="567"/>
      <c r="B9" s="567"/>
      <c r="C9" s="567"/>
      <c r="D9" s="569">
        <v>0</v>
      </c>
      <c r="E9" s="567">
        <v>0</v>
      </c>
      <c r="F9" s="567" t="s">
        <v>1001</v>
      </c>
      <c r="G9" s="567" t="s">
        <v>326</v>
      </c>
      <c r="H9" s="567">
        <v>0</v>
      </c>
      <c r="I9" s="567">
        <v>401</v>
      </c>
      <c r="J9" s="567" t="s">
        <v>327</v>
      </c>
      <c r="K9" s="567" t="s">
        <v>1002</v>
      </c>
      <c r="L9" s="567" t="s">
        <v>1003</v>
      </c>
      <c r="M9" s="567" t="s">
        <v>1004</v>
      </c>
      <c r="N9" s="567" t="s">
        <v>1011</v>
      </c>
      <c r="O9" s="567" t="s">
        <v>1012</v>
      </c>
      <c r="P9" s="567" t="s">
        <v>1007</v>
      </c>
      <c r="Q9" s="567" t="s">
        <v>1008</v>
      </c>
      <c r="R9" s="567">
        <v>80</v>
      </c>
    </row>
    <row r="10" spans="1:18" ht="15" x14ac:dyDescent="0.2">
      <c r="A10" s="567"/>
      <c r="B10" s="567"/>
      <c r="C10" s="567"/>
      <c r="D10" s="569">
        <v>9.1388888888888895E-2</v>
      </c>
      <c r="E10" s="567">
        <v>63168</v>
      </c>
      <c r="F10" s="567" t="s">
        <v>1001</v>
      </c>
      <c r="G10" s="567" t="s">
        <v>326</v>
      </c>
      <c r="H10" s="567">
        <v>0</v>
      </c>
      <c r="I10" s="567">
        <v>401</v>
      </c>
      <c r="J10" s="567" t="s">
        <v>327</v>
      </c>
      <c r="K10" s="567" t="s">
        <v>1002</v>
      </c>
      <c r="L10" s="567" t="s">
        <v>1003</v>
      </c>
      <c r="M10" s="567" t="s">
        <v>1004</v>
      </c>
      <c r="N10" s="567" t="s">
        <v>1011</v>
      </c>
      <c r="O10" s="567" t="s">
        <v>1012</v>
      </c>
      <c r="P10" s="567" t="s">
        <v>1009</v>
      </c>
      <c r="Q10" s="567" t="s">
        <v>1008</v>
      </c>
      <c r="R10" s="567">
        <v>80</v>
      </c>
    </row>
    <row r="11" spans="1:18" ht="15" x14ac:dyDescent="0.2">
      <c r="A11" s="567"/>
      <c r="B11" s="567"/>
      <c r="C11" s="567"/>
      <c r="D11" s="567" t="s">
        <v>1015</v>
      </c>
      <c r="E11" s="567">
        <v>4031</v>
      </c>
      <c r="F11" s="567" t="s">
        <v>335</v>
      </c>
      <c r="G11" s="567">
        <v>0</v>
      </c>
      <c r="H11" s="567" t="s">
        <v>326</v>
      </c>
      <c r="I11" s="567" t="s">
        <v>336</v>
      </c>
      <c r="J11" s="567">
        <v>0</v>
      </c>
      <c r="K11" s="567" t="s">
        <v>337</v>
      </c>
      <c r="L11" s="567">
        <v>45</v>
      </c>
      <c r="M11" s="567">
        <v>1</v>
      </c>
    </row>
    <row r="12" spans="1:18" ht="15" x14ac:dyDescent="0.2">
      <c r="A12" s="567"/>
      <c r="B12" s="567"/>
      <c r="C12" s="567"/>
      <c r="D12" s="567" t="s">
        <v>1016</v>
      </c>
      <c r="E12" s="567">
        <v>0</v>
      </c>
      <c r="F12" s="567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workbookViewId="0"/>
  </sheetViews>
  <sheetFormatPr defaultColWidth="9.125" defaultRowHeight="12.75" x14ac:dyDescent="0.2"/>
  <cols>
    <col min="1" max="1" width="9.125" style="573"/>
    <col min="2" max="2" width="6" style="573" bestFit="1" customWidth="1"/>
    <col min="3" max="3" width="4.5" style="573" bestFit="1" customWidth="1"/>
    <col min="4" max="4" width="13" style="573" bestFit="1" customWidth="1"/>
    <col min="5" max="5" width="9.5" style="573" bestFit="1" customWidth="1"/>
    <col min="6" max="6" width="26.25" style="573" bestFit="1" customWidth="1"/>
    <col min="7" max="7" width="7.625" style="573" bestFit="1" customWidth="1"/>
    <col min="8" max="8" width="2.25" style="573" bestFit="1" customWidth="1"/>
    <col min="9" max="9" width="15.625" style="573" bestFit="1" customWidth="1"/>
    <col min="10" max="11" width="9" style="573" bestFit="1" customWidth="1"/>
    <col min="12" max="12" width="2.25" style="573" bestFit="1" customWidth="1"/>
    <col min="13" max="16384" width="9.125" style="573"/>
  </cols>
  <sheetData>
    <row r="2" spans="1:12" ht="15" x14ac:dyDescent="0.2">
      <c r="A2" s="574"/>
      <c r="B2" s="574" t="s">
        <v>320</v>
      </c>
      <c r="C2" s="574">
        <v>950</v>
      </c>
    </row>
    <row r="7" spans="1:12" ht="15" x14ac:dyDescent="0.2">
      <c r="A7" s="574"/>
      <c r="B7" s="574"/>
      <c r="C7" s="574"/>
      <c r="D7" s="574" t="s">
        <v>321</v>
      </c>
      <c r="E7" s="574" t="s">
        <v>322</v>
      </c>
      <c r="F7" s="574" t="s">
        <v>323</v>
      </c>
    </row>
    <row r="9" spans="1:12" ht="15" x14ac:dyDescent="0.2">
      <c r="A9" s="574"/>
      <c r="B9" s="574"/>
      <c r="C9" s="574"/>
      <c r="D9" s="574" t="s">
        <v>1068</v>
      </c>
      <c r="E9" s="574">
        <v>0</v>
      </c>
      <c r="F9" s="574" t="s">
        <v>1030</v>
      </c>
      <c r="G9" s="574" t="s">
        <v>326</v>
      </c>
      <c r="H9" s="574">
        <v>0</v>
      </c>
      <c r="I9" s="574" t="s">
        <v>1029</v>
      </c>
      <c r="J9" s="574" t="s">
        <v>1037</v>
      </c>
      <c r="K9" s="574" t="s">
        <v>1036</v>
      </c>
      <c r="L9" s="574">
        <v>7</v>
      </c>
    </row>
    <row r="10" spans="1:12" ht="15" x14ac:dyDescent="0.2">
      <c r="A10" s="574"/>
      <c r="B10" s="574"/>
      <c r="C10" s="574"/>
      <c r="D10" s="574" t="s">
        <v>1095</v>
      </c>
      <c r="E10" s="574">
        <v>240</v>
      </c>
      <c r="F10" s="574" t="s">
        <v>1032</v>
      </c>
      <c r="G10" s="574" t="s">
        <v>326</v>
      </c>
      <c r="H10" s="574">
        <v>0</v>
      </c>
    </row>
    <row r="11" spans="1:12" ht="15" x14ac:dyDescent="0.2">
      <c r="A11" s="574"/>
      <c r="B11" s="574"/>
      <c r="C11" s="574"/>
      <c r="D11" s="574" t="s">
        <v>1094</v>
      </c>
      <c r="E11" s="574">
        <v>1652</v>
      </c>
      <c r="F11" s="574" t="s">
        <v>1030</v>
      </c>
      <c r="G11" s="574" t="s">
        <v>326</v>
      </c>
      <c r="H11" s="574">
        <v>0</v>
      </c>
      <c r="I11" s="574" t="s">
        <v>1029</v>
      </c>
      <c r="J11" s="574" t="s">
        <v>1037</v>
      </c>
      <c r="K11" s="574" t="s">
        <v>1036</v>
      </c>
      <c r="L11" s="574">
        <v>7</v>
      </c>
    </row>
    <row r="12" spans="1:12" ht="15" x14ac:dyDescent="0.2">
      <c r="A12" s="574"/>
      <c r="B12" s="574"/>
      <c r="C12" s="574"/>
      <c r="D12" s="574" t="s">
        <v>1093</v>
      </c>
      <c r="E12" s="574">
        <v>240</v>
      </c>
      <c r="F12" s="574" t="s">
        <v>355</v>
      </c>
      <c r="G12" s="574" t="s">
        <v>326</v>
      </c>
      <c r="H12" s="574">
        <v>0</v>
      </c>
    </row>
    <row r="13" spans="1:12" ht="15" x14ac:dyDescent="0.2">
      <c r="A13" s="574"/>
      <c r="B13" s="574"/>
      <c r="C13" s="574"/>
      <c r="D13" s="574" t="s">
        <v>1092</v>
      </c>
      <c r="E13" s="574">
        <v>1652</v>
      </c>
      <c r="F13" s="574" t="s">
        <v>1030</v>
      </c>
      <c r="G13" s="574" t="s">
        <v>326</v>
      </c>
      <c r="H13" s="574">
        <v>0</v>
      </c>
      <c r="I13" s="574" t="s">
        <v>1029</v>
      </c>
      <c r="J13" s="574" t="s">
        <v>332</v>
      </c>
      <c r="K13" s="574" t="s">
        <v>333</v>
      </c>
      <c r="L13" s="574">
        <v>7</v>
      </c>
    </row>
    <row r="14" spans="1:12" ht="15" x14ac:dyDescent="0.2">
      <c r="A14" s="574"/>
      <c r="B14" s="574"/>
      <c r="C14" s="574"/>
      <c r="D14" s="574" t="s">
        <v>1091</v>
      </c>
      <c r="E14" s="574">
        <v>240</v>
      </c>
      <c r="F14" s="574" t="s">
        <v>1032</v>
      </c>
      <c r="G14" s="574" t="s">
        <v>326</v>
      </c>
      <c r="H14" s="574">
        <v>0</v>
      </c>
    </row>
    <row r="15" spans="1:12" ht="15" x14ac:dyDescent="0.2">
      <c r="A15" s="574"/>
      <c r="B15" s="574"/>
      <c r="C15" s="574"/>
      <c r="D15" s="574" t="s">
        <v>1090</v>
      </c>
      <c r="E15" s="574">
        <v>1652</v>
      </c>
      <c r="F15" s="574" t="s">
        <v>1030</v>
      </c>
      <c r="G15" s="574" t="s">
        <v>326</v>
      </c>
      <c r="H15" s="574">
        <v>0</v>
      </c>
      <c r="I15" s="574" t="s">
        <v>1029</v>
      </c>
      <c r="J15" s="574" t="s">
        <v>332</v>
      </c>
      <c r="K15" s="574" t="s">
        <v>333</v>
      </c>
      <c r="L15" s="574">
        <v>7</v>
      </c>
    </row>
    <row r="16" spans="1:12" ht="15" x14ac:dyDescent="0.2">
      <c r="A16" s="574"/>
      <c r="B16" s="574"/>
      <c r="C16" s="574"/>
      <c r="D16" s="574" t="s">
        <v>1089</v>
      </c>
      <c r="E16" s="574">
        <v>240</v>
      </c>
      <c r="F16" s="574" t="s">
        <v>355</v>
      </c>
      <c r="G16" s="574" t="s">
        <v>326</v>
      </c>
      <c r="H16" s="574">
        <v>0</v>
      </c>
    </row>
    <row r="17" spans="1:12" ht="15" x14ac:dyDescent="0.2">
      <c r="A17" s="574"/>
      <c r="B17" s="574"/>
      <c r="C17" s="574"/>
      <c r="D17" s="574" t="s">
        <v>1088</v>
      </c>
      <c r="E17" s="574">
        <v>1652</v>
      </c>
      <c r="F17" s="574" t="s">
        <v>1030</v>
      </c>
      <c r="G17" s="574" t="s">
        <v>326</v>
      </c>
      <c r="H17" s="574">
        <v>0</v>
      </c>
      <c r="I17" s="574" t="s">
        <v>1029</v>
      </c>
      <c r="J17" s="574" t="s">
        <v>1005</v>
      </c>
      <c r="K17" s="574" t="s">
        <v>1006</v>
      </c>
      <c r="L17" s="574">
        <v>7</v>
      </c>
    </row>
    <row r="18" spans="1:12" ht="15" x14ac:dyDescent="0.2">
      <c r="A18" s="574"/>
      <c r="B18" s="574"/>
      <c r="C18" s="574"/>
      <c r="D18" s="574" t="s">
        <v>1087</v>
      </c>
      <c r="E18" s="574">
        <v>240</v>
      </c>
      <c r="F18" s="574" t="s">
        <v>1032</v>
      </c>
      <c r="G18" s="574" t="s">
        <v>326</v>
      </c>
      <c r="H18" s="574">
        <v>0</v>
      </c>
    </row>
    <row r="19" spans="1:12" ht="15" x14ac:dyDescent="0.2">
      <c r="A19" s="574"/>
      <c r="B19" s="574"/>
      <c r="C19" s="574"/>
      <c r="D19" s="574" t="s">
        <v>1086</v>
      </c>
      <c r="E19" s="574">
        <v>1652</v>
      </c>
      <c r="F19" s="574" t="s">
        <v>1030</v>
      </c>
      <c r="G19" s="574" t="s">
        <v>326</v>
      </c>
      <c r="H19" s="574">
        <v>0</v>
      </c>
      <c r="I19" s="574" t="s">
        <v>1029</v>
      </c>
      <c r="J19" s="574" t="s">
        <v>1005</v>
      </c>
      <c r="K19" s="574" t="s">
        <v>1006</v>
      </c>
      <c r="L19" s="574">
        <v>7</v>
      </c>
    </row>
    <row r="20" spans="1:12" ht="15" x14ac:dyDescent="0.2">
      <c r="A20" s="574"/>
      <c r="B20" s="574"/>
      <c r="C20" s="574"/>
      <c r="D20" s="574" t="s">
        <v>1085</v>
      </c>
      <c r="E20" s="574">
        <v>240</v>
      </c>
      <c r="F20" s="574" t="s">
        <v>355</v>
      </c>
      <c r="G20" s="574" t="s">
        <v>326</v>
      </c>
      <c r="H20" s="574">
        <v>0</v>
      </c>
    </row>
    <row r="21" spans="1:12" ht="15" x14ac:dyDescent="0.2">
      <c r="A21" s="574"/>
      <c r="B21" s="574"/>
      <c r="C21" s="574"/>
      <c r="D21" s="574" t="s">
        <v>1084</v>
      </c>
      <c r="E21" s="574">
        <v>1652</v>
      </c>
      <c r="F21" s="574" t="s">
        <v>340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/>
  </sheetViews>
  <sheetFormatPr defaultColWidth="11.375" defaultRowHeight="15" x14ac:dyDescent="0.2"/>
  <cols>
    <col min="1" max="1" width="14.375" style="81" customWidth="1"/>
    <col min="2" max="2" width="37.375" style="356" bestFit="1" customWidth="1"/>
    <col min="3" max="3" width="8.875" style="81" bestFit="1" customWidth="1"/>
    <col min="4" max="4" width="29.625" style="81" bestFit="1" customWidth="1"/>
    <col min="5" max="5" width="36.625" style="81" bestFit="1" customWidth="1"/>
    <col min="6" max="6" width="10.875" style="81" bestFit="1" customWidth="1"/>
    <col min="7" max="7" width="8.625" style="81" customWidth="1"/>
    <col min="8" max="8" width="10.625" style="81" customWidth="1"/>
    <col min="9" max="9" width="3.875" style="81" bestFit="1" customWidth="1"/>
    <col min="10" max="10" width="18" style="81" bestFit="1" customWidth="1"/>
    <col min="11" max="16384" width="11.375" style="81"/>
  </cols>
  <sheetData>
    <row r="1" spans="1:10" x14ac:dyDescent="0.2">
      <c r="A1" s="177"/>
      <c r="B1" s="189"/>
      <c r="C1" s="177"/>
      <c r="D1" s="177"/>
      <c r="E1" s="177"/>
      <c r="F1" s="177"/>
      <c r="G1" s="177"/>
      <c r="H1" s="177"/>
      <c r="I1" s="177"/>
      <c r="J1" s="177"/>
    </row>
    <row r="2" spans="1:10" x14ac:dyDescent="0.2">
      <c r="A2" s="177"/>
      <c r="B2" s="189" t="s">
        <v>271</v>
      </c>
      <c r="C2" s="177">
        <v>96</v>
      </c>
      <c r="D2" s="177"/>
      <c r="E2" s="177" t="s">
        <v>272</v>
      </c>
      <c r="F2" s="177"/>
      <c r="G2" s="177"/>
      <c r="H2" s="177"/>
      <c r="I2" s="177">
        <v>88</v>
      </c>
      <c r="J2" s="177" t="s">
        <v>273</v>
      </c>
    </row>
    <row r="3" spans="1:10" x14ac:dyDescent="0.2">
      <c r="A3" s="177"/>
      <c r="B3" s="189" t="s">
        <v>358</v>
      </c>
      <c r="C3" s="177">
        <v>8</v>
      </c>
      <c r="D3" s="177"/>
      <c r="E3" s="177"/>
      <c r="F3" s="177"/>
      <c r="G3" s="177"/>
      <c r="H3" s="177"/>
      <c r="I3" s="177"/>
      <c r="J3" s="177"/>
    </row>
    <row r="4" spans="1:10" x14ac:dyDescent="0.2">
      <c r="A4" s="177"/>
      <c r="B4" s="189" t="s">
        <v>274</v>
      </c>
      <c r="C4" s="177">
        <v>12</v>
      </c>
      <c r="D4" s="177"/>
      <c r="E4" s="177"/>
      <c r="F4" s="177"/>
      <c r="G4" s="177"/>
      <c r="H4" s="177"/>
      <c r="I4" s="177"/>
      <c r="J4" s="177"/>
    </row>
    <row r="5" spans="1:10" x14ac:dyDescent="0.2">
      <c r="A5" s="177"/>
      <c r="B5" s="189" t="s">
        <v>275</v>
      </c>
      <c r="C5" s="177">
        <f>C2-C3-C4</f>
        <v>76</v>
      </c>
      <c r="D5" s="177"/>
      <c r="E5" s="177"/>
      <c r="F5" s="177"/>
      <c r="G5" s="177"/>
      <c r="H5" s="177"/>
      <c r="I5" s="177"/>
      <c r="J5" s="177"/>
    </row>
    <row r="6" spans="1:10" x14ac:dyDescent="0.2">
      <c r="A6" s="177"/>
      <c r="B6" s="189"/>
      <c r="C6" s="177"/>
      <c r="D6" s="177"/>
      <c r="E6" s="177"/>
      <c r="F6" s="177"/>
      <c r="G6" s="177"/>
      <c r="H6" s="177"/>
      <c r="I6" s="177"/>
      <c r="J6" s="177"/>
    </row>
    <row r="7" spans="1:10" x14ac:dyDescent="0.2">
      <c r="A7" s="177"/>
      <c r="B7" s="189"/>
      <c r="C7" s="353" t="s">
        <v>276</v>
      </c>
      <c r="D7" s="353" t="s">
        <v>277</v>
      </c>
      <c r="E7" s="353" t="s">
        <v>278</v>
      </c>
      <c r="F7" s="353" t="s">
        <v>279</v>
      </c>
      <c r="G7" s="177"/>
      <c r="H7" s="177"/>
      <c r="I7" s="177"/>
      <c r="J7" s="177"/>
    </row>
    <row r="8" spans="1:10" x14ac:dyDescent="0.2">
      <c r="A8" s="177"/>
      <c r="B8" s="189" t="s">
        <v>280</v>
      </c>
      <c r="C8" s="177">
        <f>SUM(D8:F8)</f>
        <v>0</v>
      </c>
      <c r="D8" s="177">
        <f>Saturn!A41</f>
        <v>30</v>
      </c>
      <c r="E8" s="177">
        <f>Saturn!O80</f>
        <v>0</v>
      </c>
      <c r="F8" s="177">
        <f>-Saturn!P80</f>
        <v>-30</v>
      </c>
      <c r="G8" s="177"/>
      <c r="H8" s="177"/>
      <c r="I8" s="177"/>
      <c r="J8" s="177"/>
    </row>
    <row r="9" spans="1:10" x14ac:dyDescent="0.2">
      <c r="A9" s="177"/>
      <c r="B9" s="189" t="s">
        <v>281</v>
      </c>
      <c r="C9" s="177">
        <f>SUM(D9:F9)</f>
        <v>9</v>
      </c>
      <c r="D9" s="177">
        <f>'Icy Satellites'!A32</f>
        <v>21</v>
      </c>
      <c r="E9" s="177">
        <f>'Icy Satellites'!O62</f>
        <v>0</v>
      </c>
      <c r="F9" s="177">
        <f>-'Icy Satellites'!P62</f>
        <v>-12</v>
      </c>
      <c r="G9" s="177"/>
      <c r="H9" s="177"/>
      <c r="I9" s="177"/>
      <c r="J9" s="177"/>
    </row>
    <row r="10" spans="1:10" x14ac:dyDescent="0.2">
      <c r="A10" s="177"/>
      <c r="B10" s="189" t="s">
        <v>282</v>
      </c>
      <c r="C10" s="177">
        <f>SUM(D10:F10)</f>
        <v>0</v>
      </c>
      <c r="D10" s="177">
        <f>Titan!A60</f>
        <v>49</v>
      </c>
      <c r="E10" s="177">
        <f>Titan!O118</f>
        <v>0</v>
      </c>
      <c r="F10" s="177">
        <f>-Titan!P118</f>
        <v>-49</v>
      </c>
      <c r="G10" s="177"/>
      <c r="H10" s="177"/>
      <c r="I10" s="177"/>
      <c r="J10" s="177"/>
    </row>
    <row r="11" spans="1:10" x14ac:dyDescent="0.2">
      <c r="A11" s="177"/>
      <c r="B11" s="189" t="s">
        <v>283</v>
      </c>
      <c r="C11" s="177">
        <f>SUM(D11:F11)</f>
        <v>0</v>
      </c>
      <c r="D11" s="177">
        <f>Rings!A51</f>
        <v>40</v>
      </c>
      <c r="E11" s="177">
        <f>Rings!O100</f>
        <v>0</v>
      </c>
      <c r="F11" s="177">
        <f>-Rings!P100</f>
        <v>-40</v>
      </c>
      <c r="G11" s="177"/>
      <c r="H11" s="177"/>
      <c r="I11" s="177"/>
      <c r="J11" s="177"/>
    </row>
    <row r="12" spans="1:10" x14ac:dyDescent="0.2">
      <c r="A12" s="177"/>
      <c r="B12" s="189" t="s">
        <v>284</v>
      </c>
      <c r="C12" s="177">
        <f>SUM(D12:F12)</f>
        <v>53</v>
      </c>
      <c r="D12" s="177">
        <f>'Deep Space Cals'!A64</f>
        <v>53</v>
      </c>
      <c r="E12" s="354">
        <f>'Deep Space Cals'!P64</f>
        <v>0</v>
      </c>
      <c r="F12" s="177">
        <f>-'Deep Space Cals'!Q64</f>
        <v>0</v>
      </c>
      <c r="G12" s="177"/>
      <c r="H12" s="177"/>
      <c r="I12" s="177"/>
      <c r="J12" s="177"/>
    </row>
    <row r="13" spans="1:10" x14ac:dyDescent="0.2">
      <c r="A13" s="177"/>
      <c r="B13" s="189"/>
      <c r="C13" s="355"/>
      <c r="D13" s="355"/>
      <c r="E13" s="355"/>
      <c r="F13" s="355"/>
      <c r="G13" s="355"/>
      <c r="H13" s="355"/>
      <c r="I13" s="355"/>
      <c r="J13" s="355"/>
    </row>
    <row r="14" spans="1:10" x14ac:dyDescent="0.2">
      <c r="A14" s="177"/>
      <c r="B14" s="189" t="s">
        <v>360</v>
      </c>
      <c r="C14" s="177">
        <f>SUM(C8:C12)</f>
        <v>62</v>
      </c>
      <c r="D14" s="177"/>
      <c r="E14" s="177"/>
      <c r="F14" s="177"/>
      <c r="G14" s="177"/>
      <c r="H14" s="177"/>
      <c r="I14" s="177"/>
      <c r="J14" s="177"/>
    </row>
    <row r="15" spans="1:10" x14ac:dyDescent="0.2">
      <c r="A15" s="177"/>
      <c r="B15" s="189"/>
      <c r="C15" s="355"/>
      <c r="D15" s="177"/>
      <c r="E15" s="177"/>
      <c r="F15" s="177"/>
      <c r="G15" s="177"/>
      <c r="H15" s="177"/>
      <c r="I15" s="177"/>
      <c r="J15" s="177"/>
    </row>
    <row r="16" spans="1:10" x14ac:dyDescent="0.2">
      <c r="A16" s="177"/>
      <c r="B16" s="189" t="s">
        <v>285</v>
      </c>
      <c r="C16" s="177">
        <f>C5-C14</f>
        <v>14</v>
      </c>
      <c r="D16" s="177"/>
      <c r="E16" s="177"/>
      <c r="F16" s="177"/>
      <c r="G16" s="177"/>
      <c r="H16" s="177"/>
      <c r="I16" s="177"/>
      <c r="J16" s="177"/>
    </row>
    <row r="17" spans="1:10" x14ac:dyDescent="0.2">
      <c r="A17" s="177"/>
      <c r="B17" s="189"/>
      <c r="C17" s="355"/>
      <c r="D17" s="177"/>
      <c r="E17" s="177"/>
      <c r="F17" s="177"/>
      <c r="G17" s="177"/>
      <c r="H17" s="177"/>
      <c r="I17" s="177"/>
      <c r="J17" s="177"/>
    </row>
    <row r="18" spans="1:10" x14ac:dyDescent="0.2">
      <c r="A18" s="177"/>
      <c r="B18" s="189" t="s">
        <v>359</v>
      </c>
      <c r="C18" s="177">
        <f>C4+C14+C3</f>
        <v>82</v>
      </c>
      <c r="D18" s="177" t="s">
        <v>286</v>
      </c>
      <c r="E18" s="177"/>
      <c r="F18" s="177"/>
      <c r="G18" s="177"/>
      <c r="H18" s="177"/>
      <c r="I18" s="177"/>
      <c r="J18" s="177"/>
    </row>
    <row r="19" spans="1:10" x14ac:dyDescent="0.2">
      <c r="A19" s="177"/>
      <c r="B19" s="189"/>
      <c r="C19" s="177"/>
      <c r="D19" s="177"/>
      <c r="E19" s="177"/>
      <c r="F19" s="177"/>
      <c r="G19" s="177"/>
      <c r="H19" s="177"/>
      <c r="I19" s="177"/>
      <c r="J19" s="177"/>
    </row>
    <row r="20" spans="1:10" x14ac:dyDescent="0.2">
      <c r="A20" s="177"/>
      <c r="B20" s="189" t="s">
        <v>287</v>
      </c>
      <c r="C20" s="177">
        <v>128</v>
      </c>
      <c r="D20" s="177"/>
      <c r="E20" s="177"/>
      <c r="F20" s="177"/>
      <c r="G20" s="177"/>
      <c r="H20" s="177"/>
      <c r="I20" s="177"/>
      <c r="J20" s="177"/>
    </row>
    <row r="21" spans="1:10" x14ac:dyDescent="0.2">
      <c r="A21" s="177"/>
      <c r="B21" s="189" t="s">
        <v>288</v>
      </c>
      <c r="C21" s="177">
        <f>C20*C18</f>
        <v>10496</v>
      </c>
      <c r="D21" s="177"/>
      <c r="E21" s="177"/>
      <c r="F21" s="177"/>
      <c r="G21" s="177"/>
      <c r="H21" s="177"/>
      <c r="I21" s="177"/>
      <c r="J21" s="177"/>
    </row>
    <row r="22" spans="1:10" x14ac:dyDescent="0.2">
      <c r="A22" s="177"/>
      <c r="B22" s="189"/>
      <c r="C22" s="177"/>
      <c r="D22" s="177"/>
      <c r="E22" s="177"/>
      <c r="F22" s="177"/>
      <c r="G22" s="177"/>
      <c r="H22" s="177"/>
      <c r="I22" s="177"/>
      <c r="J22" s="177"/>
    </row>
    <row r="23" spans="1:10" x14ac:dyDescent="0.2">
      <c r="A23" s="177"/>
      <c r="B23" s="189" t="s">
        <v>289</v>
      </c>
      <c r="C23" s="177">
        <f>'CIRS EM Test Results'!G200+1+C3</f>
        <v>71</v>
      </c>
      <c r="D23" s="177"/>
      <c r="E23" s="177"/>
      <c r="F23" s="177"/>
      <c r="G23" s="177"/>
      <c r="H23" s="177"/>
      <c r="I23" s="177"/>
      <c r="J23" s="177"/>
    </row>
    <row r="24" spans="1:10" x14ac:dyDescent="0.2">
      <c r="A24" s="177"/>
      <c r="B24" s="189" t="s">
        <v>290</v>
      </c>
      <c r="C24" s="177">
        <v>64</v>
      </c>
      <c r="D24" s="177"/>
      <c r="E24" s="177"/>
      <c r="F24" s="177"/>
      <c r="G24" s="177"/>
      <c r="H24" s="177"/>
      <c r="I24" s="177"/>
      <c r="J24" s="177"/>
    </row>
    <row r="25" spans="1:10" x14ac:dyDescent="0.2">
      <c r="A25" s="177"/>
      <c r="B25" s="189" t="s">
        <v>291</v>
      </c>
      <c r="C25" s="177">
        <f>C23*C24</f>
        <v>4544</v>
      </c>
      <c r="D25" s="177"/>
      <c r="E25" s="177"/>
      <c r="F25" s="177"/>
      <c r="G25" s="177"/>
      <c r="H25" s="177"/>
      <c r="I25" s="177"/>
      <c r="J25" s="177"/>
    </row>
    <row r="26" spans="1:10" x14ac:dyDescent="0.2">
      <c r="A26" s="177"/>
      <c r="B26" s="188" t="s">
        <v>292</v>
      </c>
      <c r="C26" s="185">
        <f>C25/(60*60*24)</f>
        <v>5.2592592592592594E-2</v>
      </c>
      <c r="D26" s="177"/>
      <c r="E26" s="177"/>
      <c r="F26" s="177"/>
      <c r="G26" s="177"/>
      <c r="H26" s="177"/>
      <c r="I26" s="177"/>
      <c r="J26" s="177"/>
    </row>
    <row r="27" spans="1:10" x14ac:dyDescent="0.2">
      <c r="A27" s="177"/>
      <c r="B27" s="189"/>
      <c r="C27" s="177"/>
      <c r="D27" s="177"/>
      <c r="E27" s="177"/>
      <c r="F27" s="177"/>
      <c r="G27" s="177"/>
      <c r="H27" s="177"/>
      <c r="I27" s="177"/>
      <c r="J27" s="177"/>
    </row>
    <row r="28" spans="1:10" x14ac:dyDescent="0.2">
      <c r="A28" s="177"/>
      <c r="B28" s="189" t="s">
        <v>309</v>
      </c>
      <c r="C28" s="177">
        <v>16128</v>
      </c>
      <c r="D28" s="177"/>
      <c r="E28" s="177"/>
      <c r="F28" s="177"/>
      <c r="G28" s="177"/>
      <c r="H28" s="177"/>
      <c r="I28" s="177"/>
      <c r="J28" s="177"/>
    </row>
    <row r="29" spans="1:10" x14ac:dyDescent="0.2">
      <c r="A29" s="177"/>
      <c r="B29" s="189" t="s">
        <v>293</v>
      </c>
      <c r="C29" s="177">
        <f>C28+C18*8-1</f>
        <v>16783</v>
      </c>
      <c r="D29" s="177"/>
      <c r="E29" s="177"/>
      <c r="F29" s="177"/>
      <c r="G29" s="177"/>
      <c r="H29" s="177"/>
      <c r="I29" s="177"/>
      <c r="J29" s="177"/>
    </row>
    <row r="31" spans="1:10" x14ac:dyDescent="0.2">
      <c r="B31" s="356" t="s">
        <v>294</v>
      </c>
    </row>
    <row r="32" spans="1:10" x14ac:dyDescent="0.2">
      <c r="B32" s="189" t="s">
        <v>287</v>
      </c>
      <c r="C32" s="177">
        <v>128</v>
      </c>
    </row>
    <row r="33" spans="2:3" x14ac:dyDescent="0.2">
      <c r="B33" s="356" t="s">
        <v>295</v>
      </c>
      <c r="C33" s="81">
        <f>C31/C32</f>
        <v>0</v>
      </c>
    </row>
    <row r="34" spans="2:3" x14ac:dyDescent="0.2">
      <c r="B34" s="189" t="s">
        <v>293</v>
      </c>
      <c r="C34" s="81">
        <f>C28+C33*8-1</f>
        <v>16127</v>
      </c>
    </row>
    <row r="35" spans="2:3" x14ac:dyDescent="0.2">
      <c r="B35" s="189"/>
    </row>
  </sheetData>
  <conditionalFormatting sqref="C16">
    <cfRule type="cellIs" dxfId="6" priority="1" stopIfTrue="1" operator="lessThan">
      <formula>0</formula>
    </cfRule>
  </conditionalFormatting>
  <printOptions gridLines="1" gridLinesSet="0"/>
  <pageMargins left="0.75" right="0.75" top="1" bottom="1" header="0.51181102300000003" footer="0.51181102300000003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zoomScale="85" zoomScaleNormal="85" workbookViewId="0"/>
  </sheetViews>
  <sheetFormatPr defaultColWidth="11.375" defaultRowHeight="15" x14ac:dyDescent="0.2"/>
  <cols>
    <col min="1" max="1" width="6.375" style="14" bestFit="1" customWidth="1"/>
    <col min="2" max="2" width="50" style="14" bestFit="1" customWidth="1"/>
    <col min="3" max="11" width="16" style="14" customWidth="1"/>
    <col min="12" max="12" width="15.75" style="14" customWidth="1"/>
    <col min="13" max="13" width="18.75" style="14" customWidth="1"/>
    <col min="14" max="14" width="16.375" style="14" bestFit="1" customWidth="1"/>
    <col min="15" max="15" width="25.625" style="14" bestFit="1" customWidth="1"/>
    <col min="16" max="16" width="18.375" style="14" bestFit="1" customWidth="1"/>
    <col min="17" max="17" width="55.375" style="14" customWidth="1"/>
    <col min="18" max="18" width="16.125" style="14" customWidth="1"/>
    <col min="19" max="16384" width="11.375" style="14"/>
  </cols>
  <sheetData>
    <row r="1" spans="1:18" x14ac:dyDescent="0.2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84"/>
      <c r="Q2" s="84" t="s">
        <v>36</v>
      </c>
      <c r="R2" s="70">
        <v>750</v>
      </c>
    </row>
    <row r="3" spans="1:18" x14ac:dyDescent="0.2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ht="15.75" thickBo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18" ht="21.6" customHeight="1" x14ac:dyDescent="0.2">
      <c r="A5" s="70"/>
      <c r="B5" s="587" t="s">
        <v>17</v>
      </c>
      <c r="C5" s="623" t="s">
        <v>18</v>
      </c>
      <c r="D5" s="604"/>
      <c r="E5" s="604"/>
      <c r="F5" s="594"/>
      <c r="G5" s="442" t="s">
        <v>19</v>
      </c>
      <c r="H5" s="623" t="s">
        <v>20</v>
      </c>
      <c r="I5" s="604"/>
      <c r="J5" s="604"/>
      <c r="K5" s="594"/>
      <c r="L5" s="589" t="s">
        <v>21</v>
      </c>
      <c r="M5" s="589" t="s">
        <v>22</v>
      </c>
      <c r="N5" s="587" t="s">
        <v>23</v>
      </c>
      <c r="O5" s="593" t="s">
        <v>24</v>
      </c>
      <c r="P5" s="604"/>
      <c r="Q5" s="622"/>
      <c r="R5" s="587" t="s">
        <v>37</v>
      </c>
    </row>
    <row r="6" spans="1:18" ht="21.6" customHeight="1" thickBot="1" x14ac:dyDescent="0.25">
      <c r="A6" s="70"/>
      <c r="B6" s="588"/>
      <c r="C6" s="190" t="s">
        <v>25</v>
      </c>
      <c r="D6" s="88" t="s">
        <v>26</v>
      </c>
      <c r="E6" s="88" t="s">
        <v>27</v>
      </c>
      <c r="F6" s="89" t="s">
        <v>28</v>
      </c>
      <c r="G6" s="89" t="s">
        <v>28</v>
      </c>
      <c r="H6" s="190" t="s">
        <v>25</v>
      </c>
      <c r="I6" s="87" t="s">
        <v>26</v>
      </c>
      <c r="J6" s="88" t="s">
        <v>27</v>
      </c>
      <c r="K6" s="89" t="s">
        <v>28</v>
      </c>
      <c r="L6" s="590"/>
      <c r="M6" s="590"/>
      <c r="N6" s="588"/>
      <c r="O6" s="86" t="s">
        <v>29</v>
      </c>
      <c r="P6" s="88" t="s">
        <v>30</v>
      </c>
      <c r="Q6" s="150" t="s">
        <v>31</v>
      </c>
      <c r="R6" s="588"/>
    </row>
    <row r="7" spans="1:18" x14ac:dyDescent="0.2">
      <c r="A7" s="70"/>
      <c r="B7" s="443"/>
      <c r="C7" s="196"/>
      <c r="D7" s="197"/>
      <c r="E7" s="197"/>
      <c r="F7" s="198"/>
      <c r="G7" s="195"/>
      <c r="H7" s="334"/>
      <c r="I7" s="197"/>
      <c r="J7" s="197"/>
      <c r="K7" s="198"/>
      <c r="L7" s="160"/>
      <c r="M7" s="160"/>
      <c r="N7" s="154"/>
      <c r="O7" s="199"/>
      <c r="P7" s="197"/>
      <c r="Q7" s="198"/>
      <c r="R7" s="200"/>
    </row>
    <row r="8" spans="1:18" x14ac:dyDescent="0.2">
      <c r="A8" s="70"/>
      <c r="B8" s="34" t="s">
        <v>361</v>
      </c>
      <c r="C8" s="35">
        <f t="shared" ref="C8:C39" si="0">DATE(D8,1,E8)</f>
        <v>42697</v>
      </c>
      <c r="D8" s="36">
        <v>2016</v>
      </c>
      <c r="E8" s="36">
        <v>328</v>
      </c>
      <c r="F8" s="37">
        <v>0.23819444444444446</v>
      </c>
      <c r="G8" s="263"/>
      <c r="H8" s="447"/>
      <c r="I8" s="265"/>
      <c r="J8" s="265"/>
      <c r="K8" s="266"/>
      <c r="L8" s="267"/>
      <c r="M8" s="267"/>
      <c r="N8" s="268"/>
      <c r="O8" s="269"/>
      <c r="P8" s="265"/>
      <c r="Q8" s="266"/>
      <c r="R8" s="448"/>
    </row>
    <row r="9" spans="1:18" x14ac:dyDescent="0.2">
      <c r="A9" s="21">
        <v>1</v>
      </c>
      <c r="B9" s="45" t="s">
        <v>365</v>
      </c>
      <c r="C9" s="35">
        <f t="shared" si="0"/>
        <v>42697</v>
      </c>
      <c r="D9" s="36">
        <v>2016</v>
      </c>
      <c r="E9" s="36">
        <v>328</v>
      </c>
      <c r="F9" s="37">
        <v>0.33263888888888898</v>
      </c>
      <c r="G9" s="178">
        <v>0.91666666666666696</v>
      </c>
      <c r="H9" s="35">
        <f t="shared" ref="H9:H38" si="1">DATE(I9,1,J9)</f>
        <v>42698</v>
      </c>
      <c r="I9" s="36">
        <v>2016</v>
      </c>
      <c r="J9" s="36">
        <v>329</v>
      </c>
      <c r="K9" s="37">
        <v>0.249305555555556</v>
      </c>
      <c r="L9" s="41">
        <v>4000</v>
      </c>
      <c r="M9" s="42">
        <v>316.8</v>
      </c>
      <c r="N9" s="179" t="s">
        <v>366</v>
      </c>
      <c r="O9" s="180" t="s">
        <v>367</v>
      </c>
      <c r="P9" s="181" t="s">
        <v>368</v>
      </c>
      <c r="Q9" s="182"/>
      <c r="R9" s="448" t="str">
        <f>VLOOKUP($B9,'CIRS Table IDs'!$B:$P,14,FALSE)</f>
        <v>235,232,235</v>
      </c>
    </row>
    <row r="10" spans="1:18" x14ac:dyDescent="0.2">
      <c r="A10" s="21">
        <v>2</v>
      </c>
      <c r="B10" s="45" t="s">
        <v>369</v>
      </c>
      <c r="C10" s="35">
        <f t="shared" si="0"/>
        <v>42698</v>
      </c>
      <c r="D10" s="36">
        <v>2016</v>
      </c>
      <c r="E10" s="36">
        <v>329</v>
      </c>
      <c r="F10" s="37">
        <v>0.42361111111111099</v>
      </c>
      <c r="G10" s="178">
        <v>0.34930555555555598</v>
      </c>
      <c r="H10" s="35">
        <f t="shared" si="1"/>
        <v>42698</v>
      </c>
      <c r="I10" s="36">
        <v>2016</v>
      </c>
      <c r="J10" s="36">
        <v>329</v>
      </c>
      <c r="K10" s="37">
        <v>0.77291666666666703</v>
      </c>
      <c r="L10" s="41">
        <v>2000</v>
      </c>
      <c r="M10" s="42">
        <v>60.36</v>
      </c>
      <c r="N10" s="179" t="s">
        <v>370</v>
      </c>
      <c r="O10" s="180" t="s">
        <v>363</v>
      </c>
      <c r="P10" s="181" t="s">
        <v>363</v>
      </c>
      <c r="Q10" s="182"/>
      <c r="R10" s="448">
        <f>VLOOKUP($B10,'CIRS Table IDs'!$B:$P,14,FALSE)</f>
        <v>572</v>
      </c>
    </row>
    <row r="11" spans="1:18" x14ac:dyDescent="0.2">
      <c r="A11" s="21">
        <v>4</v>
      </c>
      <c r="B11" s="45" t="s">
        <v>372</v>
      </c>
      <c r="C11" s="35">
        <f t="shared" si="0"/>
        <v>42699</v>
      </c>
      <c r="D11" s="36">
        <v>2016</v>
      </c>
      <c r="E11" s="36">
        <v>330</v>
      </c>
      <c r="F11" s="37">
        <v>0.64097222222222205</v>
      </c>
      <c r="G11" s="178">
        <v>0.131944444444444</v>
      </c>
      <c r="H11" s="35">
        <f t="shared" si="1"/>
        <v>42699</v>
      </c>
      <c r="I11" s="36">
        <v>2016</v>
      </c>
      <c r="J11" s="36">
        <v>330</v>
      </c>
      <c r="K11" s="37">
        <v>0.77291666666666703</v>
      </c>
      <c r="L11" s="41">
        <v>2000</v>
      </c>
      <c r="M11" s="42">
        <v>22.8</v>
      </c>
      <c r="N11" s="179" t="s">
        <v>370</v>
      </c>
      <c r="O11" s="183"/>
      <c r="P11" s="184"/>
      <c r="Q11" s="182"/>
      <c r="R11" s="448">
        <f>VLOOKUP($B11,'CIRS Table IDs'!$B:$P,14,FALSE)</f>
        <v>472</v>
      </c>
    </row>
    <row r="12" spans="1:18" x14ac:dyDescent="0.2">
      <c r="A12" s="21">
        <v>28</v>
      </c>
      <c r="B12" s="45" t="s">
        <v>410</v>
      </c>
      <c r="C12" s="35">
        <f t="shared" si="0"/>
        <v>42705</v>
      </c>
      <c r="D12" s="36">
        <v>2016</v>
      </c>
      <c r="E12" s="36">
        <v>336</v>
      </c>
      <c r="F12" s="37">
        <v>0.41180555555555598</v>
      </c>
      <c r="G12" s="178">
        <v>0.34583333333333299</v>
      </c>
      <c r="H12" s="35">
        <f t="shared" si="1"/>
        <v>42705</v>
      </c>
      <c r="I12" s="36">
        <v>2016</v>
      </c>
      <c r="J12" s="36">
        <v>336</v>
      </c>
      <c r="K12" s="37">
        <v>0.75763888888888897</v>
      </c>
      <c r="L12" s="41">
        <v>2000</v>
      </c>
      <c r="M12" s="42">
        <v>59.76</v>
      </c>
      <c r="N12" s="179" t="s">
        <v>366</v>
      </c>
      <c r="O12" s="180" t="s">
        <v>411</v>
      </c>
      <c r="P12" s="181" t="s">
        <v>368</v>
      </c>
      <c r="Q12" s="182"/>
      <c r="R12" s="448" t="str">
        <f>VLOOKUP($B12,'CIRS Table IDs'!$B:$P,14,FALSE)</f>
        <v>297,294,297</v>
      </c>
    </row>
    <row r="13" spans="1:18" ht="30" x14ac:dyDescent="0.2">
      <c r="A13" s="21">
        <v>30</v>
      </c>
      <c r="B13" s="45" t="s">
        <v>413</v>
      </c>
      <c r="C13" s="35">
        <f t="shared" si="0"/>
        <v>42706</v>
      </c>
      <c r="D13" s="36">
        <v>2016</v>
      </c>
      <c r="E13" s="36">
        <v>337</v>
      </c>
      <c r="F13" s="37">
        <v>0.250694444444444</v>
      </c>
      <c r="G13" s="178">
        <v>0.48055555555555601</v>
      </c>
      <c r="H13" s="35">
        <f t="shared" si="1"/>
        <v>42706</v>
      </c>
      <c r="I13" s="36">
        <v>2016</v>
      </c>
      <c r="J13" s="36">
        <v>337</v>
      </c>
      <c r="K13" s="37">
        <v>0.73124999999999996</v>
      </c>
      <c r="L13" s="41">
        <v>4000</v>
      </c>
      <c r="M13" s="42">
        <v>166.08</v>
      </c>
      <c r="N13" s="179" t="s">
        <v>366</v>
      </c>
      <c r="O13" s="183" t="s">
        <v>367</v>
      </c>
      <c r="P13" s="184" t="s">
        <v>368</v>
      </c>
      <c r="Q13" s="182" t="s">
        <v>414</v>
      </c>
      <c r="R13" s="448" t="str">
        <f>VLOOKUP($B13,'CIRS Table IDs'!$B:$P,14,FALSE)</f>
        <v>235,232,235</v>
      </c>
    </row>
    <row r="14" spans="1:18" x14ac:dyDescent="0.2">
      <c r="A14" s="21">
        <v>31</v>
      </c>
      <c r="B14" s="45" t="s">
        <v>415</v>
      </c>
      <c r="C14" s="35">
        <f t="shared" si="0"/>
        <v>42706</v>
      </c>
      <c r="D14" s="36">
        <v>2016</v>
      </c>
      <c r="E14" s="36">
        <v>337</v>
      </c>
      <c r="F14" s="37">
        <v>0.73124999999999996</v>
      </c>
      <c r="G14" s="178">
        <v>0.20833333333333301</v>
      </c>
      <c r="H14" s="35">
        <f t="shared" si="1"/>
        <v>42706</v>
      </c>
      <c r="I14" s="36">
        <v>2016</v>
      </c>
      <c r="J14" s="36">
        <v>337</v>
      </c>
      <c r="K14" s="37">
        <v>0.93958333333333299</v>
      </c>
      <c r="L14" s="41">
        <v>2000</v>
      </c>
      <c r="M14" s="42">
        <v>36</v>
      </c>
      <c r="N14" s="179" t="s">
        <v>370</v>
      </c>
      <c r="O14" s="180" t="s">
        <v>363</v>
      </c>
      <c r="P14" s="181" t="s">
        <v>363</v>
      </c>
      <c r="Q14" s="182"/>
      <c r="R14" s="448">
        <f>VLOOKUP($B14,'CIRS Table IDs'!$B:$P,14,FALSE)</f>
        <v>572</v>
      </c>
    </row>
    <row r="15" spans="1:18" x14ac:dyDescent="0.2">
      <c r="A15" s="21">
        <v>33</v>
      </c>
      <c r="B15" s="45" t="s">
        <v>417</v>
      </c>
      <c r="C15" s="35">
        <f t="shared" si="0"/>
        <v>42707</v>
      </c>
      <c r="D15" s="36">
        <v>2016</v>
      </c>
      <c r="E15" s="36">
        <v>338</v>
      </c>
      <c r="F15" s="37">
        <v>0.65138888888888902</v>
      </c>
      <c r="G15" s="178">
        <v>0.375</v>
      </c>
      <c r="H15" s="35">
        <f t="shared" si="1"/>
        <v>42708</v>
      </c>
      <c r="I15" s="36">
        <v>2016</v>
      </c>
      <c r="J15" s="36">
        <v>339</v>
      </c>
      <c r="K15" s="37">
        <v>2.6388888888888899E-2</v>
      </c>
      <c r="L15" s="41">
        <v>2000</v>
      </c>
      <c r="M15" s="42">
        <v>64.8</v>
      </c>
      <c r="N15" s="179" t="s">
        <v>370</v>
      </c>
      <c r="O15" s="180" t="s">
        <v>363</v>
      </c>
      <c r="P15" s="181" t="s">
        <v>363</v>
      </c>
      <c r="Q15" s="182"/>
      <c r="R15" s="448">
        <f>VLOOKUP($B15,'CIRS Table IDs'!$B:$P,14,FALSE)</f>
        <v>572</v>
      </c>
    </row>
    <row r="16" spans="1:18" x14ac:dyDescent="0.2">
      <c r="A16" s="21">
        <v>63</v>
      </c>
      <c r="B16" s="45" t="s">
        <v>460</v>
      </c>
      <c r="C16" s="35">
        <f t="shared" si="0"/>
        <v>42722</v>
      </c>
      <c r="D16" s="36">
        <v>2016</v>
      </c>
      <c r="E16" s="36">
        <v>353</v>
      </c>
      <c r="F16" s="37">
        <v>0.45</v>
      </c>
      <c r="G16" s="178">
        <v>0.15625</v>
      </c>
      <c r="H16" s="35">
        <f t="shared" si="1"/>
        <v>42722</v>
      </c>
      <c r="I16" s="36">
        <v>2016</v>
      </c>
      <c r="J16" s="36">
        <v>353</v>
      </c>
      <c r="K16" s="37">
        <v>0.60624999999999996</v>
      </c>
      <c r="L16" s="41">
        <v>400</v>
      </c>
      <c r="M16" s="42">
        <v>5.4</v>
      </c>
      <c r="N16" s="179" t="s">
        <v>370</v>
      </c>
      <c r="O16" s="183"/>
      <c r="P16" s="184"/>
      <c r="Q16" s="182"/>
      <c r="R16" s="448">
        <f>VLOOKUP($B16,'CIRS Table IDs'!$B:$P,14,FALSE)</f>
        <v>192</v>
      </c>
    </row>
    <row r="17" spans="1:18" x14ac:dyDescent="0.2">
      <c r="A17" s="21">
        <v>123</v>
      </c>
      <c r="B17" s="45" t="s">
        <v>553</v>
      </c>
      <c r="C17" s="35">
        <f t="shared" si="0"/>
        <v>42744</v>
      </c>
      <c r="D17" s="36">
        <v>2017</v>
      </c>
      <c r="E17" s="36">
        <v>9</v>
      </c>
      <c r="F17" s="37">
        <v>0.45833333333333298</v>
      </c>
      <c r="G17" s="178">
        <v>0.16666666666666699</v>
      </c>
      <c r="H17" s="35">
        <f t="shared" si="1"/>
        <v>42744</v>
      </c>
      <c r="I17" s="36">
        <v>2017</v>
      </c>
      <c r="J17" s="36">
        <v>9</v>
      </c>
      <c r="K17" s="37">
        <v>0.625</v>
      </c>
      <c r="L17" s="41">
        <v>2000</v>
      </c>
      <c r="M17" s="42">
        <v>28.8</v>
      </c>
      <c r="N17" s="179" t="s">
        <v>370</v>
      </c>
      <c r="O17" s="180" t="s">
        <v>363</v>
      </c>
      <c r="P17" s="181" t="s">
        <v>363</v>
      </c>
      <c r="Q17" s="182"/>
      <c r="R17" s="448">
        <f>VLOOKUP($B17,'CIRS Table IDs'!$B:$P,14,FALSE)</f>
        <v>522</v>
      </c>
    </row>
    <row r="18" spans="1:18" x14ac:dyDescent="0.2">
      <c r="A18" s="21">
        <v>133</v>
      </c>
      <c r="B18" s="45" t="s">
        <v>566</v>
      </c>
      <c r="C18" s="35">
        <f t="shared" si="0"/>
        <v>42746</v>
      </c>
      <c r="D18" s="36">
        <v>2017</v>
      </c>
      <c r="E18" s="36">
        <v>11</v>
      </c>
      <c r="F18" s="37">
        <v>0.94097222222222199</v>
      </c>
      <c r="G18" s="178">
        <v>0.72361111111111098</v>
      </c>
      <c r="H18" s="35">
        <f t="shared" si="1"/>
        <v>42747</v>
      </c>
      <c r="I18" s="36">
        <v>2017</v>
      </c>
      <c r="J18" s="36">
        <v>12</v>
      </c>
      <c r="K18" s="37">
        <v>0.66458333333333297</v>
      </c>
      <c r="L18" s="41">
        <v>2000</v>
      </c>
      <c r="M18" s="42">
        <v>125.04</v>
      </c>
      <c r="N18" s="179" t="s">
        <v>370</v>
      </c>
      <c r="O18" s="183"/>
      <c r="P18" s="184"/>
      <c r="Q18" s="182"/>
      <c r="R18" s="448">
        <f>VLOOKUP($B18,'CIRS Table IDs'!$B:$P,14,FALSE)</f>
        <v>572</v>
      </c>
    </row>
    <row r="19" spans="1:18" x14ac:dyDescent="0.2">
      <c r="A19" s="21">
        <v>136</v>
      </c>
      <c r="B19" s="45" t="s">
        <v>569</v>
      </c>
      <c r="C19" s="35">
        <f t="shared" si="0"/>
        <v>42748</v>
      </c>
      <c r="D19" s="36">
        <v>2017</v>
      </c>
      <c r="E19" s="36">
        <v>13</v>
      </c>
      <c r="F19" s="37">
        <v>0.28958333333333303</v>
      </c>
      <c r="G19" s="178">
        <v>0.36944444444444402</v>
      </c>
      <c r="H19" s="35">
        <f t="shared" si="1"/>
        <v>42748</v>
      </c>
      <c r="I19" s="36">
        <v>2017</v>
      </c>
      <c r="J19" s="36">
        <v>13</v>
      </c>
      <c r="K19" s="37">
        <v>0.65902777777777799</v>
      </c>
      <c r="L19" s="41">
        <v>2000</v>
      </c>
      <c r="M19" s="42">
        <v>63.84</v>
      </c>
      <c r="N19" s="179" t="s">
        <v>366</v>
      </c>
      <c r="O19" s="180" t="s">
        <v>411</v>
      </c>
      <c r="P19" s="181" t="s">
        <v>368</v>
      </c>
      <c r="Q19" s="182"/>
      <c r="R19" s="448" t="str">
        <f>VLOOKUP($B19,'CIRS Table IDs'!$B:$P,14,FALSE)</f>
        <v>297,294,297</v>
      </c>
    </row>
    <row r="20" spans="1:18" x14ac:dyDescent="0.2">
      <c r="A20" s="21">
        <v>138</v>
      </c>
      <c r="B20" s="45" t="s">
        <v>571</v>
      </c>
      <c r="C20" s="35">
        <f t="shared" si="0"/>
        <v>42749</v>
      </c>
      <c r="D20" s="36">
        <v>2017</v>
      </c>
      <c r="E20" s="36">
        <v>14</v>
      </c>
      <c r="F20" s="37">
        <v>0.21458333333333299</v>
      </c>
      <c r="G20" s="178">
        <v>0.23680555555555599</v>
      </c>
      <c r="H20" s="35">
        <f t="shared" si="1"/>
        <v>42749</v>
      </c>
      <c r="I20" s="36">
        <v>2017</v>
      </c>
      <c r="J20" s="36">
        <v>14</v>
      </c>
      <c r="K20" s="37">
        <v>0.45138888888888901</v>
      </c>
      <c r="L20" s="41">
        <v>2000</v>
      </c>
      <c r="M20" s="42">
        <v>40.92</v>
      </c>
      <c r="N20" s="179" t="s">
        <v>370</v>
      </c>
      <c r="O20" s="180" t="s">
        <v>363</v>
      </c>
      <c r="P20" s="181" t="s">
        <v>363</v>
      </c>
      <c r="Q20" s="182"/>
      <c r="R20" s="448">
        <f>VLOOKUP($B20,'CIRS Table IDs'!$B:$P,14,FALSE)</f>
        <v>572</v>
      </c>
    </row>
    <row r="21" spans="1:18" x14ac:dyDescent="0.2">
      <c r="A21" s="21">
        <v>139</v>
      </c>
      <c r="B21" s="45" t="s">
        <v>572</v>
      </c>
      <c r="C21" s="35">
        <f t="shared" si="0"/>
        <v>42749</v>
      </c>
      <c r="D21" s="36">
        <v>2017</v>
      </c>
      <c r="E21" s="36">
        <v>14</v>
      </c>
      <c r="F21" s="37">
        <v>0.45138888888888901</v>
      </c>
      <c r="G21" s="178">
        <v>0.25</v>
      </c>
      <c r="H21" s="35">
        <f t="shared" si="1"/>
        <v>42749</v>
      </c>
      <c r="I21" s="36">
        <v>2017</v>
      </c>
      <c r="J21" s="36">
        <v>14</v>
      </c>
      <c r="K21" s="37">
        <v>0.70138888888888895</v>
      </c>
      <c r="L21" s="41">
        <v>2000</v>
      </c>
      <c r="M21" s="42">
        <v>43.2</v>
      </c>
      <c r="N21" s="179" t="s">
        <v>370</v>
      </c>
      <c r="O21" s="183"/>
      <c r="P21" s="184"/>
      <c r="Q21" s="182"/>
      <c r="R21" s="448">
        <f>VLOOKUP($B21,'CIRS Table IDs'!$B:$P,14,FALSE)</f>
        <v>596</v>
      </c>
    </row>
    <row r="22" spans="1:18" x14ac:dyDescent="0.2">
      <c r="A22" s="21">
        <v>140</v>
      </c>
      <c r="B22" s="45" t="s">
        <v>573</v>
      </c>
      <c r="C22" s="35">
        <f t="shared" si="0"/>
        <v>42749</v>
      </c>
      <c r="D22" s="36">
        <v>2017</v>
      </c>
      <c r="E22" s="36">
        <v>14</v>
      </c>
      <c r="F22" s="37">
        <v>0.70138888888888895</v>
      </c>
      <c r="G22" s="178">
        <v>0.25</v>
      </c>
      <c r="H22" s="35">
        <f t="shared" si="1"/>
        <v>42749</v>
      </c>
      <c r="I22" s="36">
        <v>2017</v>
      </c>
      <c r="J22" s="36">
        <v>14</v>
      </c>
      <c r="K22" s="37">
        <v>0.95138888888888895</v>
      </c>
      <c r="L22" s="41">
        <v>2000</v>
      </c>
      <c r="M22" s="42">
        <v>43.2</v>
      </c>
      <c r="N22" s="179" t="s">
        <v>370</v>
      </c>
      <c r="O22" s="180" t="s">
        <v>363</v>
      </c>
      <c r="P22" s="181" t="s">
        <v>363</v>
      </c>
      <c r="Q22" s="182"/>
      <c r="R22" s="448">
        <f>VLOOKUP($B22,'CIRS Table IDs'!$B:$P,14,FALSE)</f>
        <v>572</v>
      </c>
    </row>
    <row r="23" spans="1:18" x14ac:dyDescent="0.2">
      <c r="A23" s="21">
        <v>141</v>
      </c>
      <c r="B23" s="45" t="s">
        <v>574</v>
      </c>
      <c r="C23" s="35">
        <f t="shared" si="0"/>
        <v>42749</v>
      </c>
      <c r="D23" s="36">
        <v>2017</v>
      </c>
      <c r="E23" s="36">
        <v>14</v>
      </c>
      <c r="F23" s="37">
        <v>0.95138888888888895</v>
      </c>
      <c r="G23" s="178">
        <v>0.45833333333333298</v>
      </c>
      <c r="H23" s="35">
        <f t="shared" si="1"/>
        <v>42750</v>
      </c>
      <c r="I23" s="36">
        <v>2017</v>
      </c>
      <c r="J23" s="36">
        <v>15</v>
      </c>
      <c r="K23" s="37">
        <v>0.40972222222222199</v>
      </c>
      <c r="L23" s="41">
        <v>2000</v>
      </c>
      <c r="M23" s="42">
        <v>79.2</v>
      </c>
      <c r="N23" s="179" t="s">
        <v>370</v>
      </c>
      <c r="O23" s="183"/>
      <c r="P23" s="184"/>
      <c r="Q23" s="182"/>
      <c r="R23" s="448">
        <f>VLOOKUP($B23,'CIRS Table IDs'!$B:$P,14,FALSE)</f>
        <v>572</v>
      </c>
    </row>
    <row r="24" spans="1:18" x14ac:dyDescent="0.2">
      <c r="A24" s="21">
        <v>143</v>
      </c>
      <c r="B24" s="45" t="s">
        <v>576</v>
      </c>
      <c r="C24" s="35">
        <f t="shared" si="0"/>
        <v>42751</v>
      </c>
      <c r="D24" s="36">
        <v>2017</v>
      </c>
      <c r="E24" s="36">
        <v>16</v>
      </c>
      <c r="F24" s="37">
        <v>6.5277777777777796E-2</v>
      </c>
      <c r="G24" s="178">
        <v>0.16597222222222199</v>
      </c>
      <c r="H24" s="35">
        <f t="shared" si="1"/>
        <v>42751</v>
      </c>
      <c r="I24" s="36">
        <v>2017</v>
      </c>
      <c r="J24" s="36">
        <v>16</v>
      </c>
      <c r="K24" s="37">
        <v>0.23125000000000001</v>
      </c>
      <c r="L24" s="41">
        <v>2000</v>
      </c>
      <c r="M24" s="42">
        <v>28.68</v>
      </c>
      <c r="N24" s="179" t="s">
        <v>370</v>
      </c>
      <c r="O24" s="180" t="s">
        <v>363</v>
      </c>
      <c r="P24" s="181" t="s">
        <v>363</v>
      </c>
      <c r="Q24" s="182"/>
      <c r="R24" s="448">
        <f>VLOOKUP($B24,'CIRS Table IDs'!$B:$P,14,FALSE)</f>
        <v>522</v>
      </c>
    </row>
    <row r="25" spans="1:18" x14ac:dyDescent="0.2">
      <c r="A25" s="21">
        <v>144</v>
      </c>
      <c r="B25" s="45" t="s">
        <v>577</v>
      </c>
      <c r="C25" s="35">
        <f t="shared" si="0"/>
        <v>42751</v>
      </c>
      <c r="D25" s="36">
        <v>2017</v>
      </c>
      <c r="E25" s="36">
        <v>16</v>
      </c>
      <c r="F25" s="37">
        <v>0.23125000000000001</v>
      </c>
      <c r="G25" s="178">
        <v>0.25</v>
      </c>
      <c r="H25" s="35">
        <f t="shared" si="1"/>
        <v>42751</v>
      </c>
      <c r="I25" s="36">
        <v>2017</v>
      </c>
      <c r="J25" s="36">
        <v>16</v>
      </c>
      <c r="K25" s="37">
        <v>0.48125000000000001</v>
      </c>
      <c r="L25" s="41">
        <v>4000</v>
      </c>
      <c r="M25" s="42">
        <v>86.4</v>
      </c>
      <c r="N25" s="179" t="s">
        <v>366</v>
      </c>
      <c r="O25" s="180" t="s">
        <v>578</v>
      </c>
      <c r="P25" s="181" t="s">
        <v>579</v>
      </c>
      <c r="Q25" s="182"/>
      <c r="R25" s="448">
        <f>VLOOKUP($B25,'CIRS Table IDs'!$B:$P,14,FALSE)</f>
        <v>555</v>
      </c>
    </row>
    <row r="26" spans="1:18" x14ac:dyDescent="0.2">
      <c r="A26" s="21">
        <v>146</v>
      </c>
      <c r="B26" s="45" t="s">
        <v>582</v>
      </c>
      <c r="C26" s="35">
        <f t="shared" si="0"/>
        <v>42751</v>
      </c>
      <c r="D26" s="36">
        <v>2017</v>
      </c>
      <c r="E26" s="36">
        <v>16</v>
      </c>
      <c r="F26" s="37">
        <v>0.58541666666666703</v>
      </c>
      <c r="G26" s="178">
        <v>0.14444444444444399</v>
      </c>
      <c r="H26" s="35">
        <f t="shared" si="1"/>
        <v>42751</v>
      </c>
      <c r="I26" s="36">
        <v>2017</v>
      </c>
      <c r="J26" s="36">
        <v>16</v>
      </c>
      <c r="K26" s="37">
        <v>0.72986111111111096</v>
      </c>
      <c r="L26" s="41">
        <v>2000</v>
      </c>
      <c r="M26" s="42">
        <v>24.96</v>
      </c>
      <c r="N26" s="179" t="s">
        <v>370</v>
      </c>
      <c r="O26" s="180" t="s">
        <v>363</v>
      </c>
      <c r="P26" s="181" t="s">
        <v>363</v>
      </c>
      <c r="Q26" s="182"/>
      <c r="R26" s="448">
        <f>VLOOKUP($B26,'CIRS Table IDs'!$B:$P,14,FALSE)</f>
        <v>522</v>
      </c>
    </row>
    <row r="27" spans="1:18" x14ac:dyDescent="0.2">
      <c r="A27" s="21">
        <v>147</v>
      </c>
      <c r="B27" s="45" t="s">
        <v>583</v>
      </c>
      <c r="C27" s="35">
        <f t="shared" si="0"/>
        <v>42751</v>
      </c>
      <c r="D27" s="36">
        <v>2017</v>
      </c>
      <c r="E27" s="36">
        <v>16</v>
      </c>
      <c r="F27" s="37">
        <v>0.72986111111111096</v>
      </c>
      <c r="G27" s="178">
        <v>0.16666666666666699</v>
      </c>
      <c r="H27" s="35">
        <f t="shared" si="1"/>
        <v>42751</v>
      </c>
      <c r="I27" s="36">
        <v>2017</v>
      </c>
      <c r="J27" s="36">
        <v>16</v>
      </c>
      <c r="K27" s="37">
        <v>0.89652777777777803</v>
      </c>
      <c r="L27" s="41">
        <v>4000</v>
      </c>
      <c r="M27" s="42">
        <v>57.6</v>
      </c>
      <c r="N27" s="179" t="s">
        <v>366</v>
      </c>
      <c r="O27" s="183" t="s">
        <v>578</v>
      </c>
      <c r="P27" s="184" t="s">
        <v>399</v>
      </c>
      <c r="Q27" s="182" t="s">
        <v>670</v>
      </c>
      <c r="R27" s="448">
        <f>VLOOKUP($B27,'CIRS Table IDs'!$B:$P,14,FALSE)</f>
        <v>505</v>
      </c>
    </row>
    <row r="28" spans="1:18" x14ac:dyDescent="0.2">
      <c r="A28" s="21">
        <v>148</v>
      </c>
      <c r="B28" s="45" t="s">
        <v>584</v>
      </c>
      <c r="C28" s="35">
        <f t="shared" si="0"/>
        <v>42751</v>
      </c>
      <c r="D28" s="36">
        <v>2017</v>
      </c>
      <c r="E28" s="36">
        <v>16</v>
      </c>
      <c r="F28" s="37">
        <v>0.89652777777777803</v>
      </c>
      <c r="G28" s="178">
        <v>0.10347222222222199</v>
      </c>
      <c r="H28" s="35">
        <f t="shared" si="1"/>
        <v>42752</v>
      </c>
      <c r="I28" s="36">
        <v>2017</v>
      </c>
      <c r="J28" s="36">
        <v>17</v>
      </c>
      <c r="K28" s="37">
        <v>0</v>
      </c>
      <c r="L28" s="41">
        <v>2000</v>
      </c>
      <c r="M28" s="42">
        <v>17.88</v>
      </c>
      <c r="N28" s="179" t="s">
        <v>370</v>
      </c>
      <c r="O28" s="180" t="s">
        <v>363</v>
      </c>
      <c r="P28" s="181" t="s">
        <v>363</v>
      </c>
      <c r="Q28" s="182"/>
      <c r="R28" s="448">
        <f>VLOOKUP($B28,'CIRS Table IDs'!$B:$P,14,FALSE)</f>
        <v>472</v>
      </c>
    </row>
    <row r="29" spans="1:18" x14ac:dyDescent="0.2">
      <c r="A29" s="21">
        <v>149</v>
      </c>
      <c r="B29" s="45" t="s">
        <v>585</v>
      </c>
      <c r="C29" s="35">
        <f t="shared" si="0"/>
        <v>42752</v>
      </c>
      <c r="D29" s="36">
        <v>2017</v>
      </c>
      <c r="E29" s="36">
        <v>17</v>
      </c>
      <c r="F29" s="37">
        <v>0</v>
      </c>
      <c r="G29" s="178">
        <v>6.5972222222222196E-2</v>
      </c>
      <c r="H29" s="35">
        <f t="shared" si="1"/>
        <v>42752</v>
      </c>
      <c r="I29" s="36">
        <v>2017</v>
      </c>
      <c r="J29" s="36">
        <v>17</v>
      </c>
      <c r="K29" s="37">
        <v>6.5972222222222196E-2</v>
      </c>
      <c r="L29" s="41">
        <v>2000</v>
      </c>
      <c r="M29" s="42">
        <v>11.4</v>
      </c>
      <c r="N29" s="179" t="s">
        <v>370</v>
      </c>
      <c r="O29" s="183"/>
      <c r="P29" s="184"/>
      <c r="Q29" s="182"/>
      <c r="R29" s="448">
        <f>VLOOKUP($B29,'CIRS Table IDs'!$B:$P,14,FALSE)</f>
        <v>422</v>
      </c>
    </row>
    <row r="30" spans="1:18" x14ac:dyDescent="0.2">
      <c r="A30" s="21">
        <v>150</v>
      </c>
      <c r="B30" s="45" t="s">
        <v>586</v>
      </c>
      <c r="C30" s="35">
        <f t="shared" si="0"/>
        <v>42752</v>
      </c>
      <c r="D30" s="36">
        <v>2017</v>
      </c>
      <c r="E30" s="36">
        <v>17</v>
      </c>
      <c r="F30" s="37">
        <v>6.5972222222222196E-2</v>
      </c>
      <c r="G30" s="178">
        <v>0.100694444444444</v>
      </c>
      <c r="H30" s="35">
        <f t="shared" si="1"/>
        <v>42752</v>
      </c>
      <c r="I30" s="36">
        <v>2017</v>
      </c>
      <c r="J30" s="36">
        <v>17</v>
      </c>
      <c r="K30" s="37">
        <v>0.16666666666666699</v>
      </c>
      <c r="L30" s="41">
        <v>2000</v>
      </c>
      <c r="M30" s="42">
        <v>17.399999999999999</v>
      </c>
      <c r="N30" s="179" t="s">
        <v>370</v>
      </c>
      <c r="O30" s="180" t="s">
        <v>363</v>
      </c>
      <c r="P30" s="181" t="s">
        <v>363</v>
      </c>
      <c r="Q30" s="182"/>
      <c r="R30" s="448">
        <f>VLOOKUP($B30,'CIRS Table IDs'!$B:$P,14,FALSE)</f>
        <v>472</v>
      </c>
    </row>
    <row r="31" spans="1:18" x14ac:dyDescent="0.2">
      <c r="A31" s="21">
        <v>151</v>
      </c>
      <c r="B31" s="45" t="s">
        <v>587</v>
      </c>
      <c r="C31" s="35">
        <f t="shared" si="0"/>
        <v>42752</v>
      </c>
      <c r="D31" s="36">
        <v>2017</v>
      </c>
      <c r="E31" s="36">
        <v>17</v>
      </c>
      <c r="F31" s="37">
        <v>0.23055555555555601</v>
      </c>
      <c r="G31" s="178">
        <v>6.5972222222222196E-2</v>
      </c>
      <c r="H31" s="35">
        <f t="shared" si="1"/>
        <v>42752</v>
      </c>
      <c r="I31" s="36">
        <v>2017</v>
      </c>
      <c r="J31" s="36">
        <v>17</v>
      </c>
      <c r="K31" s="37">
        <v>0.296527777777778</v>
      </c>
      <c r="L31" s="41">
        <v>2000</v>
      </c>
      <c r="M31" s="42">
        <v>11.4</v>
      </c>
      <c r="N31" s="179" t="s">
        <v>370</v>
      </c>
      <c r="O31" s="180" t="s">
        <v>363</v>
      </c>
      <c r="P31" s="181" t="s">
        <v>363</v>
      </c>
      <c r="Q31" s="182"/>
      <c r="R31" s="448">
        <f>VLOOKUP($B31,'CIRS Table IDs'!$B:$P,14,FALSE)</f>
        <v>422</v>
      </c>
    </row>
    <row r="32" spans="1:18" x14ac:dyDescent="0.2">
      <c r="A32" s="21">
        <v>153</v>
      </c>
      <c r="B32" s="45" t="s">
        <v>589</v>
      </c>
      <c r="C32" s="35">
        <f t="shared" si="0"/>
        <v>42753</v>
      </c>
      <c r="D32" s="36">
        <v>2017</v>
      </c>
      <c r="E32" s="36">
        <v>18</v>
      </c>
      <c r="F32" s="37">
        <v>6.9444444444444404E-4</v>
      </c>
      <c r="G32" s="178">
        <v>0.62361111111111101</v>
      </c>
      <c r="H32" s="35">
        <f t="shared" si="1"/>
        <v>42753</v>
      </c>
      <c r="I32" s="36">
        <v>2017</v>
      </c>
      <c r="J32" s="36">
        <v>18</v>
      </c>
      <c r="K32" s="37">
        <v>0.624305555555556</v>
      </c>
      <c r="L32" s="41">
        <v>2000</v>
      </c>
      <c r="M32" s="42">
        <v>107.76</v>
      </c>
      <c r="N32" s="179" t="s">
        <v>370</v>
      </c>
      <c r="O32" s="183"/>
      <c r="P32" s="184"/>
      <c r="Q32" s="182"/>
      <c r="R32" s="448">
        <f>VLOOKUP($B32,'CIRS Table IDs'!$B:$P,14,FALSE)</f>
        <v>572</v>
      </c>
    </row>
    <row r="33" spans="1:18" x14ac:dyDescent="0.2">
      <c r="A33" s="21">
        <v>155</v>
      </c>
      <c r="B33" s="45" t="s">
        <v>591</v>
      </c>
      <c r="C33" s="35">
        <f t="shared" si="0"/>
        <v>42754</v>
      </c>
      <c r="D33" s="36">
        <v>2017</v>
      </c>
      <c r="E33" s="36">
        <v>19</v>
      </c>
      <c r="F33" s="37">
        <v>0.117361111111111</v>
      </c>
      <c r="G33" s="178">
        <v>0.52638888888888902</v>
      </c>
      <c r="H33" s="35">
        <f t="shared" si="1"/>
        <v>42754</v>
      </c>
      <c r="I33" s="36">
        <v>2017</v>
      </c>
      <c r="J33" s="36">
        <v>19</v>
      </c>
      <c r="K33" s="37">
        <v>0.64375000000000004</v>
      </c>
      <c r="L33" s="41">
        <v>4000</v>
      </c>
      <c r="M33" s="42">
        <v>181.92</v>
      </c>
      <c r="N33" s="179" t="s">
        <v>366</v>
      </c>
      <c r="O33" s="180" t="s">
        <v>411</v>
      </c>
      <c r="P33" s="181" t="s">
        <v>579</v>
      </c>
      <c r="Q33" s="182"/>
      <c r="R33" s="448" t="str">
        <f>VLOOKUP($B33,'CIRS Table IDs'!$B:$P,14,FALSE)</f>
        <v>210,207,210</v>
      </c>
    </row>
    <row r="34" spans="1:18" x14ac:dyDescent="0.2">
      <c r="A34" s="21">
        <v>158</v>
      </c>
      <c r="B34" s="45" t="s">
        <v>594</v>
      </c>
      <c r="C34" s="35">
        <f t="shared" si="0"/>
        <v>42756</v>
      </c>
      <c r="D34" s="36">
        <v>2017</v>
      </c>
      <c r="E34" s="36">
        <v>21</v>
      </c>
      <c r="F34" s="37">
        <v>0.2</v>
      </c>
      <c r="G34" s="178">
        <v>0.43888888888888899</v>
      </c>
      <c r="H34" s="35">
        <f t="shared" si="1"/>
        <v>42756</v>
      </c>
      <c r="I34" s="36">
        <v>2017</v>
      </c>
      <c r="J34" s="36">
        <v>21</v>
      </c>
      <c r="K34" s="37">
        <v>0.63888888888888895</v>
      </c>
      <c r="L34" s="41">
        <v>2000</v>
      </c>
      <c r="M34" s="42">
        <v>75.84</v>
      </c>
      <c r="N34" s="179" t="s">
        <v>370</v>
      </c>
      <c r="O34" s="183"/>
      <c r="P34" s="184"/>
      <c r="Q34" s="182"/>
      <c r="R34" s="448">
        <f>VLOOKUP($B34,'CIRS Table IDs'!$B:$P,14,FALSE)</f>
        <v>572</v>
      </c>
    </row>
    <row r="35" spans="1:18" x14ac:dyDescent="0.2">
      <c r="A35" s="21">
        <v>160</v>
      </c>
      <c r="B35" s="45" t="s">
        <v>596</v>
      </c>
      <c r="C35" s="35">
        <f t="shared" si="0"/>
        <v>42757</v>
      </c>
      <c r="D35" s="36">
        <v>2017</v>
      </c>
      <c r="E35" s="36">
        <v>22</v>
      </c>
      <c r="F35" s="37">
        <v>0.194444444444444</v>
      </c>
      <c r="G35" s="178">
        <v>0.36111111111111099</v>
      </c>
      <c r="H35" s="35">
        <f t="shared" si="1"/>
        <v>42757</v>
      </c>
      <c r="I35" s="36">
        <v>2017</v>
      </c>
      <c r="J35" s="36">
        <v>22</v>
      </c>
      <c r="K35" s="37">
        <v>0.55555555555555602</v>
      </c>
      <c r="L35" s="41">
        <v>2000</v>
      </c>
      <c r="M35" s="42">
        <v>62.4</v>
      </c>
      <c r="N35" s="179" t="s">
        <v>370</v>
      </c>
      <c r="O35" s="180" t="s">
        <v>363</v>
      </c>
      <c r="P35" s="181" t="s">
        <v>363</v>
      </c>
      <c r="Q35" s="182"/>
      <c r="R35" s="448">
        <f>VLOOKUP($B35,'CIRS Table IDs'!$B:$P,14,FALSE)</f>
        <v>572</v>
      </c>
    </row>
    <row r="36" spans="1:18" x14ac:dyDescent="0.2">
      <c r="A36" s="21">
        <v>162</v>
      </c>
      <c r="B36" s="45" t="s">
        <v>598</v>
      </c>
      <c r="C36" s="35">
        <f t="shared" si="0"/>
        <v>42758</v>
      </c>
      <c r="D36" s="36">
        <v>2017</v>
      </c>
      <c r="E36" s="36">
        <v>23</v>
      </c>
      <c r="F36" s="37">
        <v>0.20486111111111099</v>
      </c>
      <c r="G36" s="178">
        <v>0.42361111111111099</v>
      </c>
      <c r="H36" s="35">
        <f t="shared" si="1"/>
        <v>42758</v>
      </c>
      <c r="I36" s="36">
        <v>2017</v>
      </c>
      <c r="J36" s="36">
        <v>23</v>
      </c>
      <c r="K36" s="37">
        <v>0.62847222222222199</v>
      </c>
      <c r="L36" s="41">
        <v>2000</v>
      </c>
      <c r="M36" s="42">
        <v>73.2</v>
      </c>
      <c r="N36" s="179" t="s">
        <v>370</v>
      </c>
      <c r="O36" s="180" t="s">
        <v>363</v>
      </c>
      <c r="P36" s="181" t="s">
        <v>363</v>
      </c>
      <c r="Q36" s="182"/>
      <c r="R36" s="448">
        <f>VLOOKUP($B36,'CIRS Table IDs'!$B:$P,14,FALSE)</f>
        <v>572</v>
      </c>
    </row>
    <row r="37" spans="1:18" x14ac:dyDescent="0.2">
      <c r="A37" s="21">
        <v>163</v>
      </c>
      <c r="B37" s="45" t="s">
        <v>599</v>
      </c>
      <c r="C37" s="35">
        <f t="shared" si="0"/>
        <v>42758</v>
      </c>
      <c r="D37" s="36">
        <v>2017</v>
      </c>
      <c r="E37" s="36">
        <v>23</v>
      </c>
      <c r="F37" s="37">
        <v>0.79513888888888895</v>
      </c>
      <c r="G37" s="178">
        <v>0.327777777777778</v>
      </c>
      <c r="H37" s="35">
        <f t="shared" si="1"/>
        <v>42759</v>
      </c>
      <c r="I37" s="36">
        <v>2017</v>
      </c>
      <c r="J37" s="36">
        <v>24</v>
      </c>
      <c r="K37" s="37">
        <v>0.12291666666666699</v>
      </c>
      <c r="L37" s="41">
        <v>2000</v>
      </c>
      <c r="M37" s="42">
        <v>56.64</v>
      </c>
      <c r="N37" s="179" t="s">
        <v>370</v>
      </c>
      <c r="O37" s="180" t="s">
        <v>363</v>
      </c>
      <c r="P37" s="181" t="s">
        <v>363</v>
      </c>
      <c r="Q37" s="182"/>
      <c r="R37" s="448">
        <f>VLOOKUP($B37,'CIRS Table IDs'!$B:$P,14,FALSE)</f>
        <v>572</v>
      </c>
    </row>
    <row r="38" spans="1:18" ht="15.75" thickBot="1" x14ac:dyDescent="0.25">
      <c r="A38" s="21">
        <v>173</v>
      </c>
      <c r="B38" s="45" t="s">
        <v>609</v>
      </c>
      <c r="C38" s="35">
        <f t="shared" si="0"/>
        <v>42765</v>
      </c>
      <c r="D38" s="36">
        <v>2017</v>
      </c>
      <c r="E38" s="36">
        <v>30</v>
      </c>
      <c r="F38" s="37">
        <v>0.32291666666666702</v>
      </c>
      <c r="G38" s="178">
        <v>0.45833333333333298</v>
      </c>
      <c r="H38" s="35">
        <f t="shared" si="1"/>
        <v>42765</v>
      </c>
      <c r="I38" s="36">
        <v>2017</v>
      </c>
      <c r="J38" s="36">
        <v>30</v>
      </c>
      <c r="K38" s="37">
        <v>0.78125</v>
      </c>
      <c r="L38" s="41">
        <v>2000</v>
      </c>
      <c r="M38" s="42">
        <v>79.2</v>
      </c>
      <c r="N38" s="179" t="s">
        <v>370</v>
      </c>
      <c r="O38" s="180" t="s">
        <v>363</v>
      </c>
      <c r="P38" s="181" t="s">
        <v>363</v>
      </c>
      <c r="Q38" s="182"/>
      <c r="R38" s="448">
        <f>VLOOKUP($B38,'CIRS Table IDs'!$B:$P,14,FALSE)</f>
        <v>572</v>
      </c>
    </row>
    <row r="39" spans="1:18" ht="15.75" thickBot="1" x14ac:dyDescent="0.25">
      <c r="A39" s="70"/>
      <c r="B39" s="50" t="s">
        <v>362</v>
      </c>
      <c r="C39" s="51">
        <f t="shared" si="0"/>
        <v>42769</v>
      </c>
      <c r="D39" s="52">
        <v>2017</v>
      </c>
      <c r="E39" s="52">
        <v>34</v>
      </c>
      <c r="F39" s="53">
        <v>0.2951388888888889</v>
      </c>
      <c r="G39" s="118"/>
      <c r="H39" s="119"/>
      <c r="I39" s="120"/>
      <c r="J39" s="120"/>
      <c r="K39" s="118"/>
      <c r="L39" s="121"/>
      <c r="M39" s="120"/>
      <c r="N39" s="216"/>
      <c r="O39" s="117"/>
      <c r="P39" s="117"/>
      <c r="Q39" s="117"/>
      <c r="R39" s="122" t="str">
        <f>IF(MID(B39,6,7)="NO_DATA",50,IF(A39=""," ",$R$2+A39-1))</f>
        <v xml:space="preserve"> </v>
      </c>
    </row>
    <row r="40" spans="1:18" x14ac:dyDescent="0.2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</row>
    <row r="41" spans="1:18" x14ac:dyDescent="0.2">
      <c r="A41" s="70">
        <f>COUNTA(A8:A39)</f>
        <v>30</v>
      </c>
      <c r="B41" s="70" t="s">
        <v>245</v>
      </c>
      <c r="C41" s="70"/>
      <c r="D41" s="70"/>
      <c r="E41" s="84" t="s">
        <v>246</v>
      </c>
      <c r="F41" s="70">
        <f>DAY(G41)</f>
        <v>9</v>
      </c>
      <c r="G41" s="449">
        <f>SUM(G8:G38)</f>
        <v>9.6416666666666622</v>
      </c>
      <c r="H41" s="123"/>
      <c r="I41" s="70"/>
      <c r="J41" s="70"/>
      <c r="K41" s="70"/>
      <c r="L41" s="84" t="s">
        <v>34</v>
      </c>
      <c r="M41" s="127">
        <f>SUM(M9:M38)</f>
        <v>2048.8800000000006</v>
      </c>
      <c r="N41" s="70" t="s">
        <v>35</v>
      </c>
      <c r="O41" s="70"/>
      <c r="P41" s="70"/>
      <c r="Q41" s="70"/>
      <c r="R41" s="84"/>
    </row>
    <row r="42" spans="1:18" x14ac:dyDescent="0.2">
      <c r="A42" s="70"/>
      <c r="B42" s="70"/>
      <c r="C42" s="70"/>
      <c r="D42" s="70"/>
      <c r="E42" s="70"/>
      <c r="F42" s="70"/>
      <c r="G42" s="70"/>
      <c r="H42" s="70"/>
      <c r="I42" s="70"/>
      <c r="J42" s="123"/>
      <c r="K42" s="70"/>
      <c r="L42" s="70"/>
      <c r="M42" s="70"/>
      <c r="N42" s="70"/>
      <c r="O42" s="70"/>
      <c r="P42" s="70"/>
      <c r="Q42" s="70"/>
      <c r="R42" s="70"/>
    </row>
    <row r="43" spans="1:18" x14ac:dyDescent="0.2">
      <c r="A43" s="70"/>
      <c r="B43" s="70"/>
      <c r="C43" s="70"/>
      <c r="D43" s="70"/>
      <c r="E43" s="84" t="s">
        <v>247</v>
      </c>
      <c r="F43" s="70">
        <f>DAY(G43)</f>
        <v>9</v>
      </c>
      <c r="G43" s="123">
        <f>G41</f>
        <v>9.6416666666666622</v>
      </c>
      <c r="H43" s="123"/>
      <c r="I43" s="70"/>
      <c r="J43" s="70"/>
      <c r="K43" s="123"/>
      <c r="L43" s="70"/>
      <c r="M43" s="70"/>
      <c r="N43" s="70"/>
      <c r="O43" s="70"/>
      <c r="P43" s="70"/>
      <c r="Q43" s="70"/>
      <c r="R43" s="70"/>
    </row>
    <row r="44" spans="1:18" ht="15.75" thickBot="1" x14ac:dyDescent="0.2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</row>
    <row r="45" spans="1:18" ht="21.6" customHeight="1" x14ac:dyDescent="0.2">
      <c r="A45" s="70"/>
      <c r="B45" s="589" t="s">
        <v>17</v>
      </c>
      <c r="C45" s="589" t="s">
        <v>227</v>
      </c>
      <c r="D45" s="614" t="s">
        <v>248</v>
      </c>
      <c r="E45" s="615"/>
      <c r="F45" s="610"/>
      <c r="G45" s="589" t="s">
        <v>228</v>
      </c>
      <c r="H45" s="614" t="s">
        <v>249</v>
      </c>
      <c r="I45" s="610"/>
      <c r="J45" s="589" t="s">
        <v>19</v>
      </c>
      <c r="K45" s="589" t="s">
        <v>250</v>
      </c>
      <c r="L45" s="614" t="s">
        <v>312</v>
      </c>
      <c r="M45" s="608" t="s">
        <v>313</v>
      </c>
      <c r="N45" s="624" t="s">
        <v>213</v>
      </c>
      <c r="O45" s="618" t="s">
        <v>211</v>
      </c>
      <c r="P45" s="620" t="s">
        <v>251</v>
      </c>
      <c r="Q45" s="616" t="s">
        <v>315</v>
      </c>
      <c r="R45" s="70"/>
    </row>
    <row r="46" spans="1:18" ht="21.6" customHeight="1" thickBot="1" x14ac:dyDescent="0.25">
      <c r="A46" s="70"/>
      <c r="B46" s="590"/>
      <c r="C46" s="590"/>
      <c r="D46" s="86" t="s">
        <v>11</v>
      </c>
      <c r="E46" s="88" t="s">
        <v>12</v>
      </c>
      <c r="F46" s="89" t="s">
        <v>13</v>
      </c>
      <c r="G46" s="590"/>
      <c r="H46" s="86" t="s">
        <v>12</v>
      </c>
      <c r="I46" s="89" t="s">
        <v>13</v>
      </c>
      <c r="J46" s="590"/>
      <c r="K46" s="590"/>
      <c r="L46" s="627"/>
      <c r="M46" s="626"/>
      <c r="N46" s="625"/>
      <c r="O46" s="619"/>
      <c r="P46" s="621"/>
      <c r="Q46" s="617"/>
      <c r="R46" s="70"/>
    </row>
    <row r="47" spans="1:18" x14ac:dyDescent="0.2">
      <c r="A47" s="83"/>
      <c r="B47" s="74"/>
      <c r="C47" s="74"/>
      <c r="D47" s="450"/>
      <c r="E47" s="417"/>
      <c r="F47" s="418"/>
      <c r="G47" s="451"/>
      <c r="H47" s="452"/>
      <c r="I47" s="418"/>
      <c r="J47" s="422"/>
      <c r="K47" s="405"/>
      <c r="L47" s="405"/>
      <c r="M47" s="453"/>
      <c r="N47" s="454"/>
      <c r="O47" s="455"/>
      <c r="P47" s="83"/>
      <c r="Q47" s="70"/>
      <c r="R47" s="70"/>
    </row>
    <row r="48" spans="1:18" x14ac:dyDescent="0.2">
      <c r="A48" s="83">
        <f t="shared" ref="A48:B77" si="2">A9</f>
        <v>1</v>
      </c>
      <c r="B48" s="223" t="str">
        <f t="shared" si="2"/>
        <v>CIRS_249SA_MIRMAP001_PRIME</v>
      </c>
      <c r="C48" s="276" t="str">
        <f t="shared" ref="C48:C77" si="3">IF(L9=2000,"Co-add",IF(L9=4000,"No Co-add",L9))</f>
        <v>No Co-add</v>
      </c>
      <c r="D48" s="412" t="str">
        <f>IF($K48&lt;192,"",IF($K48&gt;597,"",IF(VLOOKUP($K48,'CIRS Table Info'!$B$6:$J$425,4,FALSE)="Data",VLOOKUP($K48,'CIRS Table Info'!$B$6:$J$425,3,FALSE),"")))</f>
        <v>No Co-add</v>
      </c>
      <c r="E48" s="413" t="str">
        <f>IF($K48&lt;192,"",IF($K48&gt;597,"",IF(VLOOKUP($K48,'CIRS Table Info'!$B$6:$J$425,5,FALSE)="Data",VLOOKUP($K48,'CIRS Table Info'!$B$6:$J$425,3,FALSE),"")))</f>
        <v>No Co-add</v>
      </c>
      <c r="F48" s="414" t="str">
        <f>IF($K48&lt;192,"",IF($K48&gt;597,"",IF(VLOOKUP($K48,'CIRS Table Info'!$B$6:$J$425,7,FALSE)="Data",VLOOKUP($K48,'CIRS Table Info'!$B$6:$J$425,3,FALSE),"")))</f>
        <v>No Co-add</v>
      </c>
      <c r="G48" s="415">
        <f>IF($K48&lt;192,"",IF($K48&gt;597,"",VLOOKUP($K48,'CIRS Table Info'!$B$6:$J$425,2,FALSE)))</f>
        <v>2.85</v>
      </c>
      <c r="H48" s="412" t="str">
        <f>IF($K48&lt;192,"",IF($K48&gt;597,"",VLOOKUP($K48,'CIRS Table Info'!$B$6:$J$425,6,FALSE)))</f>
        <v>Pairs</v>
      </c>
      <c r="I48" s="414" t="str">
        <f>IF($K48&lt;192,"",IF($K48&gt;597,"",VLOOKUP($K48,'CIRS Table Info'!$B$6:$J$425,8,FALSE)))</f>
        <v>Pairs</v>
      </c>
      <c r="J48" s="423">
        <f t="shared" ref="J48:J77" si="4">G9</f>
        <v>0.91666666666666696</v>
      </c>
      <c r="K48" s="141">
        <f t="shared" ref="K48:K77" si="5">VALUE(LEFT(R9,3))</f>
        <v>235</v>
      </c>
      <c r="L48" s="76" t="str">
        <f>VLOOKUP($B48,'CIRS Table IDs'!$B:$P,15,FALSE)</f>
        <v>1,1,1</v>
      </c>
      <c r="M48" s="415" t="str">
        <f>IF($K48&lt;192,"",IF($K48&gt;597,"",VLOOKUP($K48,'CIRS Table Info'!$B$6:$K$425,10,FALSE)))</f>
        <v>N\A</v>
      </c>
      <c r="N48" s="456"/>
      <c r="O48" s="455"/>
      <c r="P48" s="83">
        <f>IF(K48&lt;=597,1,0)</f>
        <v>1</v>
      </c>
      <c r="Q48" s="70" t="str">
        <f t="shared" ref="Q48:Q75" si="6">IF($R9&lt;200,"",IF($R9&gt;=300,"",IF(MOD(MOD($R9,25)-3,6)&lt;3,"Yes","")))</f>
        <v/>
      </c>
      <c r="R48" s="70"/>
    </row>
    <row r="49" spans="1:18" x14ac:dyDescent="0.2">
      <c r="A49" s="83">
        <f t="shared" si="2"/>
        <v>2</v>
      </c>
      <c r="B49" s="223" t="str">
        <f t="shared" si="2"/>
        <v>CIRS_250SA_EUVFUV001_UVIS</v>
      </c>
      <c r="C49" s="276" t="str">
        <f t="shared" si="3"/>
        <v>Co-add</v>
      </c>
      <c r="D49" s="412" t="str">
        <f>IF($K49&lt;192,"",IF($K49&gt;597,"",IF(VLOOKUP($K49,'CIRS Table Info'!$B$6:$J$425,4,FALSE)="Data",VLOOKUP($K49,'CIRS Table Info'!$B$6:$J$425,3,FALSE),"")))</f>
        <v>Co-add</v>
      </c>
      <c r="E49" s="413" t="str">
        <f>IF($K49&lt;192,"",IF($K49&gt;597,"",IF(VLOOKUP($K49,'CIRS Table Info'!$B$6:$J$425,5,FALSE)="Data",VLOOKUP($K49,'CIRS Table Info'!$B$6:$J$425,3,FALSE),"")))</f>
        <v>Co-add</v>
      </c>
      <c r="F49" s="414" t="str">
        <f>IF($K49&lt;192,"",IF($K49&gt;597,"",IF(VLOOKUP($K49,'CIRS Table Info'!$B$6:$J$425,7,FALSE)="Data",VLOOKUP($K49,'CIRS Table Info'!$B$6:$J$425,3,FALSE),"")))</f>
        <v>Co-add</v>
      </c>
      <c r="G49" s="415">
        <f>IF($K49&lt;192,"",IF($K49&gt;597,"",VLOOKUP($K49,'CIRS Table Info'!$B$6:$J$425,2,FALSE)))</f>
        <v>2.85</v>
      </c>
      <c r="H49" s="412" t="str">
        <f>IF($K49&lt;192,"",IF($K49&gt;597,"",VLOOKUP($K49,'CIRS Table Info'!$B$6:$J$425,6,FALSE)))</f>
        <v>Pairs</v>
      </c>
      <c r="I49" s="414" t="str">
        <f>IF($K49&lt;192,"",IF($K49&gt;597,"",VLOOKUP($K49,'CIRS Table Info'!$B$6:$J$425,8,FALSE)))</f>
        <v>Pairs</v>
      </c>
      <c r="J49" s="423">
        <f t="shared" si="4"/>
        <v>0.34930555555555598</v>
      </c>
      <c r="K49" s="141">
        <f t="shared" si="5"/>
        <v>572</v>
      </c>
      <c r="L49" s="76">
        <f>VLOOKUP($B49,'CIRS Table IDs'!$B:$P,15,FALSE)</f>
        <v>2</v>
      </c>
      <c r="M49" s="415">
        <f>IF($K49&lt;192,"",IF($K49&gt;597,"",VLOOKUP($K49,'CIRS Table Info'!$B$6:$K$425,10,FALSE)))</f>
        <v>5</v>
      </c>
      <c r="N49" s="456"/>
      <c r="O49" s="455"/>
      <c r="P49" s="83">
        <f t="shared" ref="P49:P77" si="7">IF(K49&lt;=597,1,0)</f>
        <v>1</v>
      </c>
      <c r="Q49" s="70" t="str">
        <f t="shared" si="6"/>
        <v/>
      </c>
      <c r="R49" s="70"/>
    </row>
    <row r="50" spans="1:18" x14ac:dyDescent="0.2">
      <c r="A50" s="83">
        <f t="shared" si="2"/>
        <v>4</v>
      </c>
      <c r="B50" s="223" t="str">
        <f t="shared" si="2"/>
        <v>CIRS_250SA_NPOLEMAP001_VIMS</v>
      </c>
      <c r="C50" s="276" t="str">
        <f t="shared" si="3"/>
        <v>Co-add</v>
      </c>
      <c r="D50" s="412" t="str">
        <f>IF($K50&lt;192,"",IF($K50&gt;597,"",IF(VLOOKUP($K50,'CIRS Table Info'!$B$6:$J$425,4,FALSE)="Data",VLOOKUP($K50,'CIRS Table Info'!$B$6:$J$425,3,FALSE),"")))</f>
        <v>Co-add</v>
      </c>
      <c r="E50" s="413" t="str">
        <f>IF($K50&lt;192,"",IF($K50&gt;597,"",IF(VLOOKUP($K50,'CIRS Table Info'!$B$6:$J$425,5,FALSE)="Data",VLOOKUP($K50,'CIRS Table Info'!$B$6:$J$425,3,FALSE),"")))</f>
        <v>Co-add</v>
      </c>
      <c r="F50" s="414" t="str">
        <f>IF($K50&lt;192,"",IF($K50&gt;597,"",IF(VLOOKUP($K50,'CIRS Table Info'!$B$6:$J$425,7,FALSE)="Data",VLOOKUP($K50,'CIRS Table Info'!$B$6:$J$425,3,FALSE),"")))</f>
        <v>Co-add</v>
      </c>
      <c r="G50" s="415">
        <f>IF($K50&lt;192,"",IF($K50&gt;597,"",VLOOKUP($K50,'CIRS Table Info'!$B$6:$J$425,2,FALSE)))</f>
        <v>2.85</v>
      </c>
      <c r="H50" s="412" t="str">
        <f>IF($K50&lt;192,"",IF($K50&gt;597,"",VLOOKUP($K50,'CIRS Table Info'!$B$6:$J$425,6,FALSE)))</f>
        <v>Pairs</v>
      </c>
      <c r="I50" s="414" t="str">
        <f>IF($K50&lt;192,"",IF($K50&gt;597,"",VLOOKUP($K50,'CIRS Table Info'!$B$6:$J$425,8,FALSE)))</f>
        <v>Pairs</v>
      </c>
      <c r="J50" s="423">
        <f t="shared" si="4"/>
        <v>0.131944444444444</v>
      </c>
      <c r="K50" s="141">
        <f t="shared" si="5"/>
        <v>472</v>
      </c>
      <c r="L50" s="76">
        <f>VLOOKUP($B50,'CIRS Table IDs'!$B:$P,15,FALSE)</f>
        <v>1</v>
      </c>
      <c r="M50" s="415">
        <f>IF($K50&lt;192,"",IF($K50&gt;597,"",VLOOKUP($K50,'CIRS Table Info'!$B$6:$K$425,10,FALSE)))</f>
        <v>3</v>
      </c>
      <c r="N50" s="456"/>
      <c r="O50" s="455"/>
      <c r="P50" s="83">
        <f t="shared" si="7"/>
        <v>1</v>
      </c>
      <c r="Q50" s="70" t="str">
        <f t="shared" si="6"/>
        <v/>
      </c>
      <c r="R50" s="70"/>
    </row>
    <row r="51" spans="1:18" x14ac:dyDescent="0.2">
      <c r="A51" s="83">
        <f t="shared" si="2"/>
        <v>28</v>
      </c>
      <c r="B51" s="223" t="str">
        <f t="shared" si="2"/>
        <v>CIRS_251SA_COMPSIT001_PRIME</v>
      </c>
      <c r="C51" s="276" t="str">
        <f t="shared" si="3"/>
        <v>Co-add</v>
      </c>
      <c r="D51" s="412" t="str">
        <f>IF($K51&lt;192,"",IF($K51&gt;597,"",IF(VLOOKUP($K51,'CIRS Table Info'!$B$6:$J$425,4,FALSE)="Data",VLOOKUP($K51,'CIRS Table Info'!$B$6:$J$425,3,FALSE),"")))</f>
        <v>Co-add</v>
      </c>
      <c r="E51" s="413" t="str">
        <f>IF($K51&lt;192,"",IF($K51&gt;597,"",IF(VLOOKUP($K51,'CIRS Table Info'!$B$6:$J$425,5,FALSE)="Data",VLOOKUP($K51,'CIRS Table Info'!$B$6:$J$425,3,FALSE),"")))</f>
        <v>Co-add</v>
      </c>
      <c r="F51" s="414" t="str">
        <f>IF($K51&lt;192,"",IF($K51&gt;597,"",IF(VLOOKUP($K51,'CIRS Table Info'!$B$6:$J$425,7,FALSE)="Data",VLOOKUP($K51,'CIRS Table Info'!$B$6:$J$425,3,FALSE),"")))</f>
        <v>Co-add</v>
      </c>
      <c r="G51" s="415">
        <f>IF($K51&lt;192,"",IF($K51&gt;597,"",VLOOKUP($K51,'CIRS Table Info'!$B$6:$J$425,2,FALSE)))</f>
        <v>0.53</v>
      </c>
      <c r="H51" s="412" t="str">
        <f>IF($K51&lt;192,"",IF($K51&gt;597,"",VLOOKUP($K51,'CIRS Table Info'!$B$6:$J$425,6,FALSE)))</f>
        <v>Pairs</v>
      </c>
      <c r="I51" s="414" t="str">
        <f>IF($K51&lt;192,"",IF($K51&gt;597,"",VLOOKUP($K51,'CIRS Table Info'!$B$6:$J$425,8,FALSE)))</f>
        <v>Pairs</v>
      </c>
      <c r="J51" s="423">
        <f t="shared" si="4"/>
        <v>0.34583333333333299</v>
      </c>
      <c r="K51" s="141">
        <f t="shared" si="5"/>
        <v>297</v>
      </c>
      <c r="L51" s="76" t="str">
        <f>VLOOKUP($B51,'CIRS Table IDs'!$B:$P,15,FALSE)</f>
        <v>1,1,1</v>
      </c>
      <c r="M51" s="415" t="str">
        <f>IF($K51&lt;192,"",IF($K51&gt;597,"",VLOOKUP($K51,'CIRS Table Info'!$B$6:$K$425,10,FALSE)))</f>
        <v>N\A</v>
      </c>
      <c r="N51" s="456"/>
      <c r="O51" s="455"/>
      <c r="P51" s="83">
        <f t="shared" si="7"/>
        <v>1</v>
      </c>
      <c r="Q51" s="70" t="str">
        <f t="shared" si="6"/>
        <v/>
      </c>
      <c r="R51" s="70"/>
    </row>
    <row r="52" spans="1:18" x14ac:dyDescent="0.2">
      <c r="A52" s="83">
        <f t="shared" si="2"/>
        <v>30</v>
      </c>
      <c r="B52" s="223" t="str">
        <f t="shared" si="2"/>
        <v>CIRS_251SA_MIRMAP001_PRIME</v>
      </c>
      <c r="C52" s="276" t="str">
        <f t="shared" si="3"/>
        <v>No Co-add</v>
      </c>
      <c r="D52" s="412" t="str">
        <f>IF($K52&lt;192,"",IF($K52&gt;597,"",IF(VLOOKUP($K52,'CIRS Table Info'!$B$6:$J$425,4,FALSE)="Data",VLOOKUP($K52,'CIRS Table Info'!$B$6:$J$425,3,FALSE),"")))</f>
        <v>No Co-add</v>
      </c>
      <c r="E52" s="413" t="str">
        <f>IF($K52&lt;192,"",IF($K52&gt;597,"",IF(VLOOKUP($K52,'CIRS Table Info'!$B$6:$J$425,5,FALSE)="Data",VLOOKUP($K52,'CIRS Table Info'!$B$6:$J$425,3,FALSE),"")))</f>
        <v>No Co-add</v>
      </c>
      <c r="F52" s="414" t="str">
        <f>IF($K52&lt;192,"",IF($K52&gt;597,"",IF(VLOOKUP($K52,'CIRS Table Info'!$B$6:$J$425,7,FALSE)="Data",VLOOKUP($K52,'CIRS Table Info'!$B$6:$J$425,3,FALSE),"")))</f>
        <v>No Co-add</v>
      </c>
      <c r="G52" s="415">
        <f>IF($K52&lt;192,"",IF($K52&gt;597,"",VLOOKUP($K52,'CIRS Table Info'!$B$6:$J$425,2,FALSE)))</f>
        <v>2.85</v>
      </c>
      <c r="H52" s="412" t="str">
        <f>IF($K52&lt;192,"",IF($K52&gt;597,"",VLOOKUP($K52,'CIRS Table Info'!$B$6:$J$425,6,FALSE)))</f>
        <v>Pairs</v>
      </c>
      <c r="I52" s="414" t="str">
        <f>IF($K52&lt;192,"",IF($K52&gt;597,"",VLOOKUP($K52,'CIRS Table Info'!$B$6:$J$425,8,FALSE)))</f>
        <v>Pairs</v>
      </c>
      <c r="J52" s="423">
        <f t="shared" si="4"/>
        <v>0.48055555555555601</v>
      </c>
      <c r="K52" s="141">
        <f t="shared" si="5"/>
        <v>235</v>
      </c>
      <c r="L52" s="76" t="str">
        <f>VLOOKUP($B52,'CIRS Table IDs'!$B:$P,15,FALSE)</f>
        <v>1,1,1</v>
      </c>
      <c r="M52" s="415" t="str">
        <f>IF($K52&lt;192,"",IF($K52&gt;597,"",VLOOKUP($K52,'CIRS Table Info'!$B$6:$K$425,10,FALSE)))</f>
        <v>N\A</v>
      </c>
      <c r="N52" s="456"/>
      <c r="O52" s="455"/>
      <c r="P52" s="83">
        <f t="shared" si="7"/>
        <v>1</v>
      </c>
      <c r="Q52" s="70" t="str">
        <f t="shared" si="6"/>
        <v/>
      </c>
      <c r="R52" s="70"/>
    </row>
    <row r="53" spans="1:18" x14ac:dyDescent="0.2">
      <c r="A53" s="83">
        <f t="shared" si="2"/>
        <v>31</v>
      </c>
      <c r="B53" s="223" t="str">
        <f t="shared" si="2"/>
        <v>CIRS_251SA_EUVFUV001_UVIS</v>
      </c>
      <c r="C53" s="276" t="str">
        <f t="shared" si="3"/>
        <v>Co-add</v>
      </c>
      <c r="D53" s="412" t="str">
        <f>IF($K53&lt;192,"",IF($K53&gt;597,"",IF(VLOOKUP($K53,'CIRS Table Info'!$B$6:$J$425,4,FALSE)="Data",VLOOKUP($K53,'CIRS Table Info'!$B$6:$J$425,3,FALSE),"")))</f>
        <v>Co-add</v>
      </c>
      <c r="E53" s="413" t="str">
        <f>IF($K53&lt;192,"",IF($K53&gt;597,"",IF(VLOOKUP($K53,'CIRS Table Info'!$B$6:$J$425,5,FALSE)="Data",VLOOKUP($K53,'CIRS Table Info'!$B$6:$J$425,3,FALSE),"")))</f>
        <v>Co-add</v>
      </c>
      <c r="F53" s="414" t="str">
        <f>IF($K53&lt;192,"",IF($K53&gt;597,"",IF(VLOOKUP($K53,'CIRS Table Info'!$B$6:$J$425,7,FALSE)="Data",VLOOKUP($K53,'CIRS Table Info'!$B$6:$J$425,3,FALSE),"")))</f>
        <v>Co-add</v>
      </c>
      <c r="G53" s="415">
        <f>IF($K53&lt;192,"",IF($K53&gt;597,"",VLOOKUP($K53,'CIRS Table Info'!$B$6:$J$425,2,FALSE)))</f>
        <v>2.85</v>
      </c>
      <c r="H53" s="412" t="str">
        <f>IF($K53&lt;192,"",IF($K53&gt;597,"",VLOOKUP($K53,'CIRS Table Info'!$B$6:$J$425,6,FALSE)))</f>
        <v>Pairs</v>
      </c>
      <c r="I53" s="414" t="str">
        <f>IF($K53&lt;192,"",IF($K53&gt;597,"",VLOOKUP($K53,'CIRS Table Info'!$B$6:$J$425,8,FALSE)))</f>
        <v>Pairs</v>
      </c>
      <c r="J53" s="423">
        <f t="shared" si="4"/>
        <v>0.20833333333333301</v>
      </c>
      <c r="K53" s="141">
        <f t="shared" si="5"/>
        <v>572</v>
      </c>
      <c r="L53" s="76">
        <f>VLOOKUP($B53,'CIRS Table IDs'!$B:$P,15,FALSE)</f>
        <v>1</v>
      </c>
      <c r="M53" s="415">
        <f>IF($K53&lt;192,"",IF($K53&gt;597,"",VLOOKUP($K53,'CIRS Table Info'!$B$6:$K$425,10,FALSE)))</f>
        <v>5</v>
      </c>
      <c r="N53" s="457"/>
      <c r="O53" s="455"/>
      <c r="P53" s="83">
        <f t="shared" si="7"/>
        <v>1</v>
      </c>
      <c r="Q53" s="70" t="str">
        <f t="shared" si="6"/>
        <v/>
      </c>
      <c r="R53" s="70"/>
    </row>
    <row r="54" spans="1:18" x14ac:dyDescent="0.2">
      <c r="A54" s="83">
        <f t="shared" si="2"/>
        <v>33</v>
      </c>
      <c r="B54" s="223" t="str">
        <f t="shared" si="2"/>
        <v>CIRS_251SA_NPOLMOV001_VIMS</v>
      </c>
      <c r="C54" s="276" t="str">
        <f t="shared" si="3"/>
        <v>Co-add</v>
      </c>
      <c r="D54" s="412" t="str">
        <f>IF($K54&lt;192,"",IF($K54&gt;597,"",IF(VLOOKUP($K54,'CIRS Table Info'!$B$6:$J$425,4,FALSE)="Data",VLOOKUP($K54,'CIRS Table Info'!$B$6:$J$425,3,FALSE),"")))</f>
        <v>Co-add</v>
      </c>
      <c r="E54" s="413" t="str">
        <f>IF($K54&lt;192,"",IF($K54&gt;597,"",IF(VLOOKUP($K54,'CIRS Table Info'!$B$6:$J$425,5,FALSE)="Data",VLOOKUP($K54,'CIRS Table Info'!$B$6:$J$425,3,FALSE),"")))</f>
        <v>Co-add</v>
      </c>
      <c r="F54" s="414" t="str">
        <f>IF($K54&lt;192,"",IF($K54&gt;597,"",IF(VLOOKUP($K54,'CIRS Table Info'!$B$6:$J$425,7,FALSE)="Data",VLOOKUP($K54,'CIRS Table Info'!$B$6:$J$425,3,FALSE),"")))</f>
        <v>Co-add</v>
      </c>
      <c r="G54" s="415">
        <f>IF($K54&lt;192,"",IF($K54&gt;597,"",VLOOKUP($K54,'CIRS Table Info'!$B$6:$J$425,2,FALSE)))</f>
        <v>2.85</v>
      </c>
      <c r="H54" s="412" t="str">
        <f>IF($K54&lt;192,"",IF($K54&gt;597,"",VLOOKUP($K54,'CIRS Table Info'!$B$6:$J$425,6,FALSE)))</f>
        <v>Pairs</v>
      </c>
      <c r="I54" s="414" t="str">
        <f>IF($K54&lt;192,"",IF($K54&gt;597,"",VLOOKUP($K54,'CIRS Table Info'!$B$6:$J$425,8,FALSE)))</f>
        <v>Pairs</v>
      </c>
      <c r="J54" s="423">
        <f t="shared" si="4"/>
        <v>0.375</v>
      </c>
      <c r="K54" s="141">
        <f t="shared" si="5"/>
        <v>572</v>
      </c>
      <c r="L54" s="76">
        <f>VLOOKUP($B54,'CIRS Table IDs'!$B:$P,15,FALSE)</f>
        <v>2</v>
      </c>
      <c r="M54" s="415">
        <f>IF($K54&lt;192,"",IF($K54&gt;597,"",VLOOKUP($K54,'CIRS Table Info'!$B$6:$K$425,10,FALSE)))</f>
        <v>5</v>
      </c>
      <c r="N54" s="457"/>
      <c r="O54" s="455"/>
      <c r="P54" s="83">
        <f t="shared" si="7"/>
        <v>1</v>
      </c>
      <c r="Q54" s="70" t="str">
        <f t="shared" si="6"/>
        <v/>
      </c>
      <c r="R54" s="70"/>
    </row>
    <row r="55" spans="1:18" x14ac:dyDescent="0.2">
      <c r="A55" s="83">
        <f t="shared" si="2"/>
        <v>63</v>
      </c>
      <c r="B55" s="223" t="str">
        <f t="shared" si="2"/>
        <v>CIRS_253ST_BETCRURDI001_UVIS</v>
      </c>
      <c r="C55" s="276">
        <f t="shared" si="3"/>
        <v>400</v>
      </c>
      <c r="D55" s="412" t="str">
        <f>IF($K55&lt;192,"",IF($K55&gt;597,"",IF(VLOOKUP($K55,'CIRS Table Info'!$B$6:$J$425,4,FALSE)="Data",VLOOKUP($K55,'CIRS Table Info'!$B$6:$J$425,3,FALSE),"")))</f>
        <v>No Co-add</v>
      </c>
      <c r="E55" s="413" t="str">
        <f>IF($K55&lt;192,"",IF($K55&gt;597,"",IF(VLOOKUP($K55,'CIRS Table Info'!$B$6:$J$425,5,FALSE)="Data",VLOOKUP($K55,'CIRS Table Info'!$B$6:$J$425,3,FALSE),"")))</f>
        <v/>
      </c>
      <c r="F55" s="414" t="str">
        <f>IF($K55&lt;192,"",IF($K55&gt;597,"",IF(VLOOKUP($K55,'CIRS Table Info'!$B$6:$J$425,7,FALSE)="Data",VLOOKUP($K55,'CIRS Table Info'!$B$6:$J$425,3,FALSE),"")))</f>
        <v/>
      </c>
      <c r="G55" s="415">
        <f>IF($K55&lt;192,"",IF($K55&gt;597,"",VLOOKUP($K55,'CIRS Table Info'!$B$6:$J$425,2,FALSE)))</f>
        <v>15.67</v>
      </c>
      <c r="H55" s="412" t="s">
        <v>311</v>
      </c>
      <c r="I55" s="414" t="s">
        <v>311</v>
      </c>
      <c r="J55" s="423">
        <f t="shared" si="4"/>
        <v>0.15625</v>
      </c>
      <c r="K55" s="141">
        <f t="shared" si="5"/>
        <v>192</v>
      </c>
      <c r="L55" s="76">
        <f>VLOOKUP($B55,'CIRS Table IDs'!$B:$P,15,FALSE)</f>
        <v>1</v>
      </c>
      <c r="M55" s="415" t="str">
        <f>IF($K55&lt;192,"",IF($K55&gt;597,"",VLOOKUP($K55,'CIRS Table Info'!$B$6:$K$425,10,FALSE)))</f>
        <v>N\A</v>
      </c>
      <c r="N55" s="456"/>
      <c r="O55" s="455"/>
      <c r="P55" s="83">
        <f t="shared" si="7"/>
        <v>1</v>
      </c>
      <c r="Q55" s="70" t="str">
        <f t="shared" si="6"/>
        <v/>
      </c>
      <c r="R55" s="70"/>
    </row>
    <row r="56" spans="1:18" x14ac:dyDescent="0.2">
      <c r="A56" s="83">
        <f t="shared" si="2"/>
        <v>123</v>
      </c>
      <c r="B56" s="223" t="str">
        <f t="shared" si="2"/>
        <v>CIRS_256SA_AURSTARE001_UVIS</v>
      </c>
      <c r="C56" s="276" t="str">
        <f t="shared" si="3"/>
        <v>Co-add</v>
      </c>
      <c r="D56" s="412" t="str">
        <f>IF($K56&lt;192,"",IF($K56&gt;597,"",IF(VLOOKUP($K56,'CIRS Table Info'!$B$6:$J$425,4,FALSE)="Data",VLOOKUP($K56,'CIRS Table Info'!$B$6:$J$425,3,FALSE),"")))</f>
        <v>Co-add</v>
      </c>
      <c r="E56" s="413" t="str">
        <f>IF($K56&lt;192,"",IF($K56&gt;597,"",IF(VLOOKUP($K56,'CIRS Table Info'!$B$6:$J$425,5,FALSE)="Data",VLOOKUP($K56,'CIRS Table Info'!$B$6:$J$425,3,FALSE),"")))</f>
        <v>Co-add</v>
      </c>
      <c r="F56" s="414" t="str">
        <f>IF($K56&lt;192,"",IF($K56&gt;597,"",IF(VLOOKUP($K56,'CIRS Table Info'!$B$6:$J$425,7,FALSE)="Data",VLOOKUP($K56,'CIRS Table Info'!$B$6:$J$425,3,FALSE),"")))</f>
        <v>Co-add</v>
      </c>
      <c r="G56" s="415">
        <f>IF($K56&lt;192,"",IF($K56&gt;597,"",VLOOKUP($K56,'CIRS Table Info'!$B$6:$J$425,2,FALSE)))</f>
        <v>2.85</v>
      </c>
      <c r="H56" s="412" t="str">
        <f>IF($K56&lt;192,"",IF($K56&gt;597,"",VLOOKUP($K56,'CIRS Table Info'!$B$6:$J$425,6,FALSE)))</f>
        <v>Pairs</v>
      </c>
      <c r="I56" s="414" t="str">
        <f>IF($K56&lt;192,"",IF($K56&gt;597,"",VLOOKUP($K56,'CIRS Table Info'!$B$6:$J$425,8,FALSE)))</f>
        <v>Pairs</v>
      </c>
      <c r="J56" s="423">
        <f t="shared" si="4"/>
        <v>0.16666666666666699</v>
      </c>
      <c r="K56" s="141">
        <f t="shared" si="5"/>
        <v>522</v>
      </c>
      <c r="L56" s="76">
        <f>VLOOKUP($B56,'CIRS Table IDs'!$B:$P,15,FALSE)</f>
        <v>1</v>
      </c>
      <c r="M56" s="415">
        <f>IF($K56&lt;192,"",IF($K56&gt;597,"",VLOOKUP($K56,'CIRS Table Info'!$B$6:$K$425,10,FALSE)))</f>
        <v>4</v>
      </c>
      <c r="N56" s="456"/>
      <c r="O56" s="455"/>
      <c r="P56" s="83">
        <f t="shared" si="7"/>
        <v>1</v>
      </c>
      <c r="Q56" s="70" t="str">
        <f t="shared" si="6"/>
        <v/>
      </c>
      <c r="R56" s="70"/>
    </row>
    <row r="57" spans="1:18" x14ac:dyDescent="0.2">
      <c r="A57" s="83">
        <f t="shared" si="2"/>
        <v>133</v>
      </c>
      <c r="B57" s="223" t="str">
        <f t="shared" si="2"/>
        <v>CIRS_256SA_EUVFUV001_UVIS</v>
      </c>
      <c r="C57" s="276" t="str">
        <f t="shared" si="3"/>
        <v>Co-add</v>
      </c>
      <c r="D57" s="412" t="str">
        <f>IF($K57&lt;192,"",IF($K57&gt;597,"",IF(VLOOKUP($K57,'CIRS Table Info'!$B$6:$J$425,4,FALSE)="Data",VLOOKUP($K57,'CIRS Table Info'!$B$6:$J$425,3,FALSE),"")))</f>
        <v>Co-add</v>
      </c>
      <c r="E57" s="413" t="str">
        <f>IF($K57&lt;192,"",IF($K57&gt;597,"",IF(VLOOKUP($K57,'CIRS Table Info'!$B$6:$J$425,5,FALSE)="Data",VLOOKUP($K57,'CIRS Table Info'!$B$6:$J$425,3,FALSE),"")))</f>
        <v>Co-add</v>
      </c>
      <c r="F57" s="414" t="str">
        <f>IF($K57&lt;192,"",IF($K57&gt;597,"",IF(VLOOKUP($K57,'CIRS Table Info'!$B$6:$J$425,7,FALSE)="Data",VLOOKUP($K57,'CIRS Table Info'!$B$6:$J$425,3,FALSE),"")))</f>
        <v>Co-add</v>
      </c>
      <c r="G57" s="415">
        <f>IF($K57&lt;192,"",IF($K57&gt;597,"",VLOOKUP($K57,'CIRS Table Info'!$B$6:$J$425,2,FALSE)))</f>
        <v>2.85</v>
      </c>
      <c r="H57" s="412" t="str">
        <f>IF($K57&lt;192,"",IF($K57&gt;597,"",VLOOKUP($K57,'CIRS Table Info'!$B$6:$J$425,6,FALSE)))</f>
        <v>Pairs</v>
      </c>
      <c r="I57" s="414" t="str">
        <f>IF($K57&lt;192,"",IF($K57&gt;597,"",VLOOKUP($K57,'CIRS Table Info'!$B$6:$J$425,8,FALSE)))</f>
        <v>Pairs</v>
      </c>
      <c r="J57" s="423">
        <f t="shared" si="4"/>
        <v>0.72361111111111098</v>
      </c>
      <c r="K57" s="141">
        <f t="shared" si="5"/>
        <v>572</v>
      </c>
      <c r="L57" s="76">
        <f>VLOOKUP($B57,'CIRS Table IDs'!$B:$P,15,FALSE)</f>
        <v>3</v>
      </c>
      <c r="M57" s="415">
        <f>IF($K57&lt;192,"",IF($K57&gt;597,"",VLOOKUP($K57,'CIRS Table Info'!$B$6:$K$425,10,FALSE)))</f>
        <v>5</v>
      </c>
      <c r="N57" s="456"/>
      <c r="O57" s="455"/>
      <c r="P57" s="83">
        <f t="shared" si="7"/>
        <v>1</v>
      </c>
      <c r="Q57" s="70" t="str">
        <f t="shared" si="6"/>
        <v/>
      </c>
      <c r="R57" s="70"/>
    </row>
    <row r="58" spans="1:18" x14ac:dyDescent="0.2">
      <c r="A58" s="83">
        <f t="shared" si="2"/>
        <v>136</v>
      </c>
      <c r="B58" s="223" t="str">
        <f t="shared" si="2"/>
        <v>CIRS_257SA_COMPSIT001_PRIME</v>
      </c>
      <c r="C58" s="276" t="str">
        <f t="shared" si="3"/>
        <v>Co-add</v>
      </c>
      <c r="D58" s="412" t="str">
        <f>IF($K58&lt;192,"",IF($K58&gt;597,"",IF(VLOOKUP($K58,'CIRS Table Info'!$B$6:$J$425,4,FALSE)="Data",VLOOKUP($K58,'CIRS Table Info'!$B$6:$J$425,3,FALSE),"")))</f>
        <v>Co-add</v>
      </c>
      <c r="E58" s="413" t="str">
        <f>IF($K58&lt;192,"",IF($K58&gt;597,"",IF(VLOOKUP($K58,'CIRS Table Info'!$B$6:$J$425,5,FALSE)="Data",VLOOKUP($K58,'CIRS Table Info'!$B$6:$J$425,3,FALSE),"")))</f>
        <v>Co-add</v>
      </c>
      <c r="F58" s="414" t="str">
        <f>IF($K58&lt;192,"",IF($K58&gt;597,"",IF(VLOOKUP($K58,'CIRS Table Info'!$B$6:$J$425,7,FALSE)="Data",VLOOKUP($K58,'CIRS Table Info'!$B$6:$J$425,3,FALSE),"")))</f>
        <v>Co-add</v>
      </c>
      <c r="G58" s="415">
        <f>IF($K58&lt;192,"",IF($K58&gt;597,"",VLOOKUP($K58,'CIRS Table Info'!$B$6:$J$425,2,FALSE)))</f>
        <v>0.53</v>
      </c>
      <c r="H58" s="412" t="str">
        <f>IF($K58&lt;192,"",IF($K58&gt;597,"",VLOOKUP($K58,'CIRS Table Info'!$B$6:$J$425,6,FALSE)))</f>
        <v>Pairs</v>
      </c>
      <c r="I58" s="414" t="str">
        <f>IF($K58&lt;192,"",IF($K58&gt;597,"",VLOOKUP($K58,'CIRS Table Info'!$B$6:$J$425,8,FALSE)))</f>
        <v>Pairs</v>
      </c>
      <c r="J58" s="423">
        <f t="shared" si="4"/>
        <v>0.36944444444444402</v>
      </c>
      <c r="K58" s="141">
        <f t="shared" si="5"/>
        <v>297</v>
      </c>
      <c r="L58" s="76" t="str">
        <f>VLOOKUP($B58,'CIRS Table IDs'!$B:$P,15,FALSE)</f>
        <v>1,1,1</v>
      </c>
      <c r="M58" s="415" t="str">
        <f>IF($K58&lt;192,"",IF($K58&gt;597,"",VLOOKUP($K58,'CIRS Table Info'!$B$6:$K$425,10,FALSE)))</f>
        <v>N\A</v>
      </c>
      <c r="N58" s="456"/>
      <c r="O58" s="455"/>
      <c r="P58" s="83">
        <f t="shared" ref="P58:P76" si="8">IF(K58&lt;=597,1,0)</f>
        <v>1</v>
      </c>
      <c r="Q58" s="70" t="str">
        <f t="shared" si="6"/>
        <v/>
      </c>
      <c r="R58" s="70"/>
    </row>
    <row r="59" spans="1:18" x14ac:dyDescent="0.2">
      <c r="A59" s="83">
        <f t="shared" si="2"/>
        <v>138</v>
      </c>
      <c r="B59" s="223" t="str">
        <f t="shared" si="2"/>
        <v>CIRS_257SA_NHEMMAP001_VIMS</v>
      </c>
      <c r="C59" s="276" t="str">
        <f t="shared" si="3"/>
        <v>Co-add</v>
      </c>
      <c r="D59" s="412" t="str">
        <f>IF($K59&lt;192,"",IF($K59&gt;597,"",IF(VLOOKUP($K59,'CIRS Table Info'!$B$6:$J$425,4,FALSE)="Data",VLOOKUP($K59,'CIRS Table Info'!$B$6:$J$425,3,FALSE),"")))</f>
        <v>Co-add</v>
      </c>
      <c r="E59" s="413" t="str">
        <f>IF($K59&lt;192,"",IF($K59&gt;597,"",IF(VLOOKUP($K59,'CIRS Table Info'!$B$6:$J$425,5,FALSE)="Data",VLOOKUP($K59,'CIRS Table Info'!$B$6:$J$425,3,FALSE),"")))</f>
        <v>Co-add</v>
      </c>
      <c r="F59" s="414" t="str">
        <f>IF($K59&lt;192,"",IF($K59&gt;597,"",IF(VLOOKUP($K59,'CIRS Table Info'!$B$6:$J$425,7,FALSE)="Data",VLOOKUP($K59,'CIRS Table Info'!$B$6:$J$425,3,FALSE),"")))</f>
        <v>Co-add</v>
      </c>
      <c r="G59" s="415">
        <f>IF($K59&lt;192,"",IF($K59&gt;597,"",VLOOKUP($K59,'CIRS Table Info'!$B$6:$J$425,2,FALSE)))</f>
        <v>2.85</v>
      </c>
      <c r="H59" s="412" t="str">
        <f>IF($K59&lt;192,"",IF($K59&gt;597,"",VLOOKUP($K59,'CIRS Table Info'!$B$6:$J$425,6,FALSE)))</f>
        <v>Pairs</v>
      </c>
      <c r="I59" s="414" t="str">
        <f>IF($K59&lt;192,"",IF($K59&gt;597,"",VLOOKUP($K59,'CIRS Table Info'!$B$6:$J$425,8,FALSE)))</f>
        <v>Pairs</v>
      </c>
      <c r="J59" s="423">
        <f t="shared" si="4"/>
        <v>0.23680555555555599</v>
      </c>
      <c r="K59" s="141">
        <f t="shared" si="5"/>
        <v>572</v>
      </c>
      <c r="L59" s="76">
        <f>VLOOKUP($B59,'CIRS Table IDs'!$B:$P,15,FALSE)</f>
        <v>1</v>
      </c>
      <c r="M59" s="415">
        <f>IF($K59&lt;192,"",IF($K59&gt;597,"",VLOOKUP($K59,'CIRS Table Info'!$B$6:$K$425,10,FALSE)))</f>
        <v>5</v>
      </c>
      <c r="N59" s="456"/>
      <c r="O59" s="455"/>
      <c r="P59" s="83">
        <f t="shared" si="8"/>
        <v>1</v>
      </c>
      <c r="Q59" s="70" t="str">
        <f t="shared" si="6"/>
        <v/>
      </c>
      <c r="R59" s="70"/>
    </row>
    <row r="60" spans="1:18" x14ac:dyDescent="0.2">
      <c r="A60" s="83">
        <f t="shared" si="2"/>
        <v>139</v>
      </c>
      <c r="B60" s="223" t="str">
        <f t="shared" si="2"/>
        <v>CIRS_257SA_AURDSTARE001_UVIS</v>
      </c>
      <c r="C60" s="276" t="str">
        <f t="shared" si="3"/>
        <v>Co-add</v>
      </c>
      <c r="D60" s="412" t="str">
        <f>IF($K60&lt;192,"",IF($K60&gt;597,"",IF(VLOOKUP($K60,'CIRS Table Info'!$B$6:$J$425,4,FALSE)="Data",VLOOKUP($K60,'CIRS Table Info'!$B$6:$J$425,3,FALSE),"")))</f>
        <v>Co-add</v>
      </c>
      <c r="E60" s="413" t="str">
        <f>IF($K60&lt;192,"",IF($K60&gt;597,"",IF(VLOOKUP($K60,'CIRS Table Info'!$B$6:$J$425,5,FALSE)="Data",VLOOKUP($K60,'CIRS Table Info'!$B$6:$J$425,3,FALSE),"")))</f>
        <v>Co-add</v>
      </c>
      <c r="F60" s="414" t="str">
        <f>IF($K60&lt;192,"",IF($K60&gt;597,"",IF(VLOOKUP($K60,'CIRS Table Info'!$B$6:$J$425,7,FALSE)="Data",VLOOKUP($K60,'CIRS Table Info'!$B$6:$J$425,3,FALSE),"")))</f>
        <v>Co-add</v>
      </c>
      <c r="G60" s="415">
        <f>IF($K60&lt;192,"",IF($K60&gt;597,"",VLOOKUP($K60,'CIRS Table Info'!$B$6:$J$425,2,FALSE)))</f>
        <v>0.53</v>
      </c>
      <c r="H60" s="412" t="str">
        <f>IF($K60&lt;192,"",IF($K60&gt;597,"",VLOOKUP($K60,'CIRS Table Info'!$B$6:$J$425,6,FALSE)))</f>
        <v>Pairs</v>
      </c>
      <c r="I60" s="414" t="str">
        <f>IF($K60&lt;192,"",IF($K60&gt;597,"",VLOOKUP($K60,'CIRS Table Info'!$B$6:$J$425,8,FALSE)))</f>
        <v>Pairs</v>
      </c>
      <c r="J60" s="423">
        <f t="shared" si="4"/>
        <v>0.25</v>
      </c>
      <c r="K60" s="141">
        <f t="shared" si="5"/>
        <v>596</v>
      </c>
      <c r="L60" s="76">
        <f>VLOOKUP($B60,'CIRS Table IDs'!$B:$P,15,FALSE)</f>
        <v>1</v>
      </c>
      <c r="M60" s="415">
        <f>IF($K60&lt;192,"",IF($K60&gt;597,"",VLOOKUP($K60,'CIRS Table Info'!$B$6:$K$425,10,FALSE)))</f>
        <v>5</v>
      </c>
      <c r="N60" s="456"/>
      <c r="O60" s="455"/>
      <c r="P60" s="83">
        <f t="shared" si="8"/>
        <v>1</v>
      </c>
      <c r="Q60" s="70" t="str">
        <f t="shared" si="6"/>
        <v/>
      </c>
      <c r="R60" s="70"/>
    </row>
    <row r="61" spans="1:18" x14ac:dyDescent="0.2">
      <c r="A61" s="83">
        <f t="shared" si="2"/>
        <v>140</v>
      </c>
      <c r="B61" s="223" t="str">
        <f t="shared" si="2"/>
        <v>CIRS_257SA_AURSLEW001_UVIS</v>
      </c>
      <c r="C61" s="276" t="str">
        <f t="shared" si="3"/>
        <v>Co-add</v>
      </c>
      <c r="D61" s="412" t="str">
        <f>IF($K61&lt;192,"",IF($K61&gt;597,"",IF(VLOOKUP($K61,'CIRS Table Info'!$B$6:$J$425,4,FALSE)="Data",VLOOKUP($K61,'CIRS Table Info'!$B$6:$J$425,3,FALSE),"")))</f>
        <v>Co-add</v>
      </c>
      <c r="E61" s="413" t="str">
        <f>IF($K61&lt;192,"",IF($K61&gt;597,"",IF(VLOOKUP($K61,'CIRS Table Info'!$B$6:$J$425,5,FALSE)="Data",VLOOKUP($K61,'CIRS Table Info'!$B$6:$J$425,3,FALSE),"")))</f>
        <v>Co-add</v>
      </c>
      <c r="F61" s="414" t="str">
        <f>IF($K61&lt;192,"",IF($K61&gt;597,"",IF(VLOOKUP($K61,'CIRS Table Info'!$B$6:$J$425,7,FALSE)="Data",VLOOKUP($K61,'CIRS Table Info'!$B$6:$J$425,3,FALSE),"")))</f>
        <v>Co-add</v>
      </c>
      <c r="G61" s="415">
        <f>IF($K61&lt;192,"",IF($K61&gt;597,"",VLOOKUP($K61,'CIRS Table Info'!$B$6:$J$425,2,FALSE)))</f>
        <v>2.85</v>
      </c>
      <c r="H61" s="412" t="str">
        <f>IF($K61&lt;192,"",IF($K61&gt;597,"",VLOOKUP($K61,'CIRS Table Info'!$B$6:$J$425,6,FALSE)))</f>
        <v>Pairs</v>
      </c>
      <c r="I61" s="414" t="str">
        <f>IF($K61&lt;192,"",IF($K61&gt;597,"",VLOOKUP($K61,'CIRS Table Info'!$B$6:$J$425,8,FALSE)))</f>
        <v>Pairs</v>
      </c>
      <c r="J61" s="423">
        <f t="shared" si="4"/>
        <v>0.25</v>
      </c>
      <c r="K61" s="141">
        <f t="shared" si="5"/>
        <v>572</v>
      </c>
      <c r="L61" s="76">
        <f>VLOOKUP($B61,'CIRS Table IDs'!$B:$P,15,FALSE)</f>
        <v>1</v>
      </c>
      <c r="M61" s="415">
        <f>IF($K61&lt;192,"",IF($K61&gt;597,"",VLOOKUP($K61,'CIRS Table Info'!$B$6:$K$425,10,FALSE)))</f>
        <v>5</v>
      </c>
      <c r="N61" s="456"/>
      <c r="O61" s="455"/>
      <c r="P61" s="83">
        <f t="shared" si="8"/>
        <v>1</v>
      </c>
      <c r="Q61" s="70" t="str">
        <f t="shared" si="6"/>
        <v/>
      </c>
      <c r="R61" s="70"/>
    </row>
    <row r="62" spans="1:18" x14ac:dyDescent="0.2">
      <c r="A62" s="83">
        <f t="shared" si="2"/>
        <v>141</v>
      </c>
      <c r="B62" s="223" t="str">
        <f t="shared" si="2"/>
        <v>CIRS_257SA_NPOLMOV001_VIMS</v>
      </c>
      <c r="C62" s="276" t="str">
        <f t="shared" si="3"/>
        <v>Co-add</v>
      </c>
      <c r="D62" s="412" t="str">
        <f>IF($K62&lt;192,"",IF($K62&gt;597,"",IF(VLOOKUP($K62,'CIRS Table Info'!$B$6:$J$425,4,FALSE)="Data",VLOOKUP($K62,'CIRS Table Info'!$B$6:$J$425,3,FALSE),"")))</f>
        <v>Co-add</v>
      </c>
      <c r="E62" s="413" t="str">
        <f>IF($K62&lt;192,"",IF($K62&gt;597,"",IF(VLOOKUP($K62,'CIRS Table Info'!$B$6:$J$425,5,FALSE)="Data",VLOOKUP($K62,'CIRS Table Info'!$B$6:$J$425,3,FALSE),"")))</f>
        <v>Co-add</v>
      </c>
      <c r="F62" s="414" t="str">
        <f>IF($K62&lt;192,"",IF($K62&gt;597,"",IF(VLOOKUP($K62,'CIRS Table Info'!$B$6:$J$425,7,FALSE)="Data",VLOOKUP($K62,'CIRS Table Info'!$B$6:$J$425,3,FALSE),"")))</f>
        <v>Co-add</v>
      </c>
      <c r="G62" s="415">
        <f>IF($K62&lt;192,"",IF($K62&gt;597,"",VLOOKUP($K62,'CIRS Table Info'!$B$6:$J$425,2,FALSE)))</f>
        <v>2.85</v>
      </c>
      <c r="H62" s="412" t="str">
        <f>IF($K62&lt;192,"",IF($K62&gt;597,"",VLOOKUP($K62,'CIRS Table Info'!$B$6:$J$425,6,FALSE)))</f>
        <v>Pairs</v>
      </c>
      <c r="I62" s="414" t="str">
        <f>IF($K62&lt;192,"",IF($K62&gt;597,"",VLOOKUP($K62,'CIRS Table Info'!$B$6:$J$425,8,FALSE)))</f>
        <v>Pairs</v>
      </c>
      <c r="J62" s="423">
        <f t="shared" si="4"/>
        <v>0.45833333333333298</v>
      </c>
      <c r="K62" s="141">
        <f t="shared" si="5"/>
        <v>572</v>
      </c>
      <c r="L62" s="76">
        <f>VLOOKUP($B62,'CIRS Table IDs'!$B:$P,15,FALSE)</f>
        <v>2</v>
      </c>
      <c r="M62" s="415">
        <f>IF($K62&lt;192,"",IF($K62&gt;597,"",VLOOKUP($K62,'CIRS Table Info'!$B$6:$K$425,10,FALSE)))</f>
        <v>5</v>
      </c>
      <c r="N62" s="456"/>
      <c r="O62" s="455"/>
      <c r="P62" s="83">
        <f t="shared" si="8"/>
        <v>1</v>
      </c>
      <c r="Q62" s="70" t="str">
        <f t="shared" si="6"/>
        <v/>
      </c>
      <c r="R62" s="70"/>
    </row>
    <row r="63" spans="1:18" x14ac:dyDescent="0.2">
      <c r="A63" s="83">
        <f t="shared" si="2"/>
        <v>143</v>
      </c>
      <c r="B63" s="223" t="str">
        <f t="shared" si="2"/>
        <v>CIRS_257SA_NPOLMAP001_VIMS</v>
      </c>
      <c r="C63" s="276" t="str">
        <f t="shared" si="3"/>
        <v>Co-add</v>
      </c>
      <c r="D63" s="412" t="str">
        <f>IF($K63&lt;192,"",IF($K63&gt;597,"",IF(VLOOKUP($K63,'CIRS Table Info'!$B$6:$J$425,4,FALSE)="Data",VLOOKUP($K63,'CIRS Table Info'!$B$6:$J$425,3,FALSE),"")))</f>
        <v>Co-add</v>
      </c>
      <c r="E63" s="413" t="str">
        <f>IF($K63&lt;192,"",IF($K63&gt;597,"",IF(VLOOKUP($K63,'CIRS Table Info'!$B$6:$J$425,5,FALSE)="Data",VLOOKUP($K63,'CIRS Table Info'!$B$6:$J$425,3,FALSE),"")))</f>
        <v>Co-add</v>
      </c>
      <c r="F63" s="414" t="str">
        <f>IF($K63&lt;192,"",IF($K63&gt;597,"",IF(VLOOKUP($K63,'CIRS Table Info'!$B$6:$J$425,7,FALSE)="Data",VLOOKUP($K63,'CIRS Table Info'!$B$6:$J$425,3,FALSE),"")))</f>
        <v>Co-add</v>
      </c>
      <c r="G63" s="415">
        <f>IF($K63&lt;192,"",IF($K63&gt;597,"",VLOOKUP($K63,'CIRS Table Info'!$B$6:$J$425,2,FALSE)))</f>
        <v>2.85</v>
      </c>
      <c r="H63" s="412" t="str">
        <f>IF($K63&lt;192,"",IF($K63&gt;597,"",VLOOKUP($K63,'CIRS Table Info'!$B$6:$J$425,6,FALSE)))</f>
        <v>Pairs</v>
      </c>
      <c r="I63" s="414" t="str">
        <f>IF($K63&lt;192,"",IF($K63&gt;597,"",VLOOKUP($K63,'CIRS Table Info'!$B$6:$J$425,8,FALSE)))</f>
        <v>Pairs</v>
      </c>
      <c r="J63" s="423">
        <f t="shared" si="4"/>
        <v>0.16597222222222199</v>
      </c>
      <c r="K63" s="141">
        <f t="shared" si="5"/>
        <v>522</v>
      </c>
      <c r="L63" s="76">
        <f>VLOOKUP($B63,'CIRS Table IDs'!$B:$P,15,FALSE)</f>
        <v>1</v>
      </c>
      <c r="M63" s="415">
        <f>IF($K63&lt;192,"",IF($K63&gt;597,"",VLOOKUP($K63,'CIRS Table Info'!$B$6:$K$425,10,FALSE)))</f>
        <v>4</v>
      </c>
      <c r="N63" s="456"/>
      <c r="O63" s="455"/>
      <c r="P63" s="83">
        <f t="shared" si="8"/>
        <v>1</v>
      </c>
      <c r="Q63" s="70" t="str">
        <f t="shared" si="6"/>
        <v/>
      </c>
      <c r="R63" s="70"/>
    </row>
    <row r="64" spans="1:18" x14ac:dyDescent="0.2">
      <c r="A64" s="83">
        <f t="shared" si="2"/>
        <v>144</v>
      </c>
      <c r="B64" s="223" t="str">
        <f t="shared" si="2"/>
        <v>CIRS_257SA_LIMBMAP001_PRIME</v>
      </c>
      <c r="C64" s="276" t="str">
        <f t="shared" si="3"/>
        <v>No Co-add</v>
      </c>
      <c r="D64" s="412" t="str">
        <f>IF($K64&lt;192,"",IF($K64&gt;597,"",IF(VLOOKUP($K64,'CIRS Table Info'!$B$6:$J$425,4,FALSE)="Data",VLOOKUP($K64,'CIRS Table Info'!$B$6:$J$425,3,FALSE),"")))</f>
        <v>No Co-add</v>
      </c>
      <c r="E64" s="413" t="str">
        <f>IF($K64&lt;192,"",IF($K64&gt;597,"",IF(VLOOKUP($K64,'CIRS Table Info'!$B$6:$J$425,5,FALSE)="Data",VLOOKUP($K64,'CIRS Table Info'!$B$6:$J$425,3,FALSE),"")))</f>
        <v>No Co-add</v>
      </c>
      <c r="F64" s="414" t="str">
        <f>IF($K64&lt;192,"",IF($K64&gt;597,"",IF(VLOOKUP($K64,'CIRS Table Info'!$B$6:$J$425,7,FALSE)="Data",VLOOKUP($K64,'CIRS Table Info'!$B$6:$J$425,3,FALSE),"")))</f>
        <v>No Co-add</v>
      </c>
      <c r="G64" s="415">
        <f>IF($K64&lt;192,"",IF($K64&gt;597,"",VLOOKUP($K64,'CIRS Table Info'!$B$6:$J$425,2,FALSE)))</f>
        <v>15.67</v>
      </c>
      <c r="H64" s="412" t="str">
        <f>IF($K64&lt;192,"",IF($K64&gt;597,"",VLOOKUP($K64,'CIRS Table Info'!$B$6:$J$425,6,FALSE)))</f>
        <v>Blink</v>
      </c>
      <c r="I64" s="414" t="str">
        <f>IF($K64&lt;192,"",IF($K64&gt;597,"",VLOOKUP($K64,'CIRS Table Info'!$B$6:$J$425,8,FALSE)))</f>
        <v>Blink</v>
      </c>
      <c r="J64" s="423">
        <f t="shared" si="4"/>
        <v>0.25</v>
      </c>
      <c r="K64" s="141">
        <f t="shared" si="5"/>
        <v>555</v>
      </c>
      <c r="L64" s="76">
        <f>VLOOKUP($B64,'CIRS Table IDs'!$B:$P,15,FALSE)</f>
        <v>1</v>
      </c>
      <c r="M64" s="415">
        <f>IF($K64&lt;192,"",IF($K64&gt;597,"",VLOOKUP($K64,'CIRS Table Info'!$B$6:$K$425,10,FALSE)))</f>
        <v>5</v>
      </c>
      <c r="N64" s="456"/>
      <c r="O64" s="455"/>
      <c r="P64" s="83">
        <f t="shared" si="8"/>
        <v>1</v>
      </c>
      <c r="Q64" s="70" t="str">
        <f t="shared" si="6"/>
        <v/>
      </c>
      <c r="R64" s="70"/>
    </row>
    <row r="65" spans="1:18" x14ac:dyDescent="0.2">
      <c r="A65" s="83">
        <f t="shared" si="2"/>
        <v>146</v>
      </c>
      <c r="B65" s="223" t="str">
        <f t="shared" si="2"/>
        <v>CIRS_257SA_SHEMHIRES001_VIMS</v>
      </c>
      <c r="C65" s="276" t="str">
        <f t="shared" si="3"/>
        <v>Co-add</v>
      </c>
      <c r="D65" s="412" t="str">
        <f>IF($K65&lt;192,"",IF($K65&gt;597,"",IF(VLOOKUP($K65,'CIRS Table Info'!$B$6:$J$425,4,FALSE)="Data",VLOOKUP($K65,'CIRS Table Info'!$B$6:$J$425,3,FALSE),"")))</f>
        <v>Co-add</v>
      </c>
      <c r="E65" s="413" t="str">
        <f>IF($K65&lt;192,"",IF($K65&gt;597,"",IF(VLOOKUP($K65,'CIRS Table Info'!$B$6:$J$425,5,FALSE)="Data",VLOOKUP($K65,'CIRS Table Info'!$B$6:$J$425,3,FALSE),"")))</f>
        <v>Co-add</v>
      </c>
      <c r="F65" s="414" t="str">
        <f>IF($K65&lt;192,"",IF($K65&gt;597,"",IF(VLOOKUP($K65,'CIRS Table Info'!$B$6:$J$425,7,FALSE)="Data",VLOOKUP($K65,'CIRS Table Info'!$B$6:$J$425,3,FALSE),"")))</f>
        <v>Co-add</v>
      </c>
      <c r="G65" s="415">
        <f>IF($K65&lt;192,"",IF($K65&gt;597,"",VLOOKUP($K65,'CIRS Table Info'!$B$6:$J$425,2,FALSE)))</f>
        <v>2.85</v>
      </c>
      <c r="H65" s="412" t="str">
        <f>IF($K65&lt;192,"",IF($K65&gt;597,"",VLOOKUP($K65,'CIRS Table Info'!$B$6:$J$425,6,FALSE)))</f>
        <v>Pairs</v>
      </c>
      <c r="I65" s="414" t="str">
        <f>IF($K65&lt;192,"",IF($K65&gt;597,"",VLOOKUP($K65,'CIRS Table Info'!$B$6:$J$425,8,FALSE)))</f>
        <v>Pairs</v>
      </c>
      <c r="J65" s="423">
        <f t="shared" si="4"/>
        <v>0.14444444444444399</v>
      </c>
      <c r="K65" s="141">
        <f t="shared" si="5"/>
        <v>522</v>
      </c>
      <c r="L65" s="76">
        <f>VLOOKUP($B65,'CIRS Table IDs'!$B:$P,15,FALSE)</f>
        <v>1</v>
      </c>
      <c r="M65" s="415">
        <f>IF($K65&lt;192,"",IF($K65&gt;597,"",VLOOKUP($K65,'CIRS Table Info'!$B$6:$K$425,10,FALSE)))</f>
        <v>4</v>
      </c>
      <c r="N65" s="456"/>
      <c r="O65" s="455"/>
      <c r="P65" s="83">
        <f t="shared" si="8"/>
        <v>1</v>
      </c>
      <c r="Q65" s="70" t="str">
        <f t="shared" si="6"/>
        <v/>
      </c>
      <c r="R65" s="70"/>
    </row>
    <row r="66" spans="1:18" x14ac:dyDescent="0.2">
      <c r="A66" s="83">
        <f t="shared" si="2"/>
        <v>147</v>
      </c>
      <c r="B66" s="223" t="str">
        <f t="shared" si="2"/>
        <v>CIRS_257SA_LIMBINT001_PIE</v>
      </c>
      <c r="C66" s="276" t="str">
        <f t="shared" si="3"/>
        <v>No Co-add</v>
      </c>
      <c r="D66" s="412" t="str">
        <f>IF($K66&lt;192,"",IF($K66&gt;597,"",IF(VLOOKUP($K66,'CIRS Table Info'!$B$6:$J$425,4,FALSE)="Data",VLOOKUP($K66,'CIRS Table Info'!$B$6:$J$425,3,FALSE),"")))</f>
        <v>No Co-add</v>
      </c>
      <c r="E66" s="413" t="str">
        <f>IF($K66&lt;192,"",IF($K66&gt;597,"",IF(VLOOKUP($K66,'CIRS Table Info'!$B$6:$J$425,5,FALSE)="Data",VLOOKUP($K66,'CIRS Table Info'!$B$6:$J$425,3,FALSE),"")))</f>
        <v>No Co-add</v>
      </c>
      <c r="F66" s="414" t="str">
        <f>IF($K66&lt;192,"",IF($K66&gt;597,"",IF(VLOOKUP($K66,'CIRS Table Info'!$B$6:$J$425,7,FALSE)="Data",VLOOKUP($K66,'CIRS Table Info'!$B$6:$J$425,3,FALSE),"")))</f>
        <v>No Co-add</v>
      </c>
      <c r="G66" s="415">
        <f>IF($K66&lt;192,"",IF($K66&gt;597,"",VLOOKUP($K66,'CIRS Table Info'!$B$6:$J$425,2,FALSE)))</f>
        <v>15.67</v>
      </c>
      <c r="H66" s="412" t="str">
        <f>IF($K66&lt;192,"",IF($K66&gt;597,"",VLOOKUP($K66,'CIRS Table Info'!$B$6:$J$425,6,FALSE)))</f>
        <v>Blink</v>
      </c>
      <c r="I66" s="414" t="str">
        <f>IF($K66&lt;192,"",IF($K66&gt;597,"",VLOOKUP($K66,'CIRS Table Info'!$B$6:$J$425,8,FALSE)))</f>
        <v>Blink</v>
      </c>
      <c r="J66" s="423">
        <f t="shared" si="4"/>
        <v>0.16666666666666699</v>
      </c>
      <c r="K66" s="141">
        <f t="shared" si="5"/>
        <v>505</v>
      </c>
      <c r="L66" s="76">
        <f>VLOOKUP($B66,'CIRS Table IDs'!$B:$P,15,FALSE)</f>
        <v>1</v>
      </c>
      <c r="M66" s="415">
        <f>IF($K66&lt;192,"",IF($K66&gt;597,"",VLOOKUP($K66,'CIRS Table Info'!$B$6:$K$425,10,FALSE)))</f>
        <v>4</v>
      </c>
      <c r="N66" s="456"/>
      <c r="O66" s="455"/>
      <c r="P66" s="83">
        <f t="shared" si="8"/>
        <v>1</v>
      </c>
      <c r="Q66" s="70" t="str">
        <f t="shared" si="6"/>
        <v/>
      </c>
      <c r="R66" s="70"/>
    </row>
    <row r="67" spans="1:18" x14ac:dyDescent="0.2">
      <c r="A67" s="83">
        <f t="shared" si="2"/>
        <v>148</v>
      </c>
      <c r="B67" s="223" t="str">
        <f t="shared" si="2"/>
        <v>CIRS_257SA_SPOLMAP001_VIMS</v>
      </c>
      <c r="C67" s="276" t="str">
        <f t="shared" si="3"/>
        <v>Co-add</v>
      </c>
      <c r="D67" s="412" t="str">
        <f>IF($K67&lt;192,"",IF($K67&gt;597,"",IF(VLOOKUP($K67,'CIRS Table Info'!$B$6:$J$425,4,FALSE)="Data",VLOOKUP($K67,'CIRS Table Info'!$B$6:$J$425,3,FALSE),"")))</f>
        <v>Co-add</v>
      </c>
      <c r="E67" s="413" t="str">
        <f>IF($K67&lt;192,"",IF($K67&gt;597,"",IF(VLOOKUP($K67,'CIRS Table Info'!$B$6:$J$425,5,FALSE)="Data",VLOOKUP($K67,'CIRS Table Info'!$B$6:$J$425,3,FALSE),"")))</f>
        <v>Co-add</v>
      </c>
      <c r="F67" s="414" t="str">
        <f>IF($K67&lt;192,"",IF($K67&gt;597,"",IF(VLOOKUP($K67,'CIRS Table Info'!$B$6:$J$425,7,FALSE)="Data",VLOOKUP($K67,'CIRS Table Info'!$B$6:$J$425,3,FALSE),"")))</f>
        <v>Co-add</v>
      </c>
      <c r="G67" s="415">
        <f>IF($K67&lt;192,"",IF($K67&gt;597,"",VLOOKUP($K67,'CIRS Table Info'!$B$6:$J$425,2,FALSE)))</f>
        <v>2.85</v>
      </c>
      <c r="H67" s="412" t="str">
        <f>IF($K67&lt;192,"",IF($K67&gt;597,"",VLOOKUP($K67,'CIRS Table Info'!$B$6:$J$425,6,FALSE)))</f>
        <v>Pairs</v>
      </c>
      <c r="I67" s="414" t="str">
        <f>IF($K67&lt;192,"",IF($K67&gt;597,"",VLOOKUP($K67,'CIRS Table Info'!$B$6:$J$425,8,FALSE)))</f>
        <v>Pairs</v>
      </c>
      <c r="J67" s="423">
        <f t="shared" si="4"/>
        <v>0.10347222222222199</v>
      </c>
      <c r="K67" s="141">
        <f t="shared" si="5"/>
        <v>472</v>
      </c>
      <c r="L67" s="76">
        <f>VLOOKUP($B67,'CIRS Table IDs'!$B:$P,15,FALSE)</f>
        <v>1</v>
      </c>
      <c r="M67" s="415">
        <f>IF($K67&lt;192,"",IF($K67&gt;597,"",VLOOKUP($K67,'CIRS Table Info'!$B$6:$K$425,10,FALSE)))</f>
        <v>3</v>
      </c>
      <c r="N67" s="456"/>
      <c r="O67" s="455"/>
      <c r="P67" s="83">
        <f t="shared" si="8"/>
        <v>1</v>
      </c>
      <c r="Q67" s="70" t="str">
        <f t="shared" si="6"/>
        <v/>
      </c>
      <c r="R67" s="70"/>
    </row>
    <row r="68" spans="1:18" x14ac:dyDescent="0.2">
      <c r="A68" s="83">
        <f t="shared" si="2"/>
        <v>149</v>
      </c>
      <c r="B68" s="223" t="str">
        <f t="shared" si="2"/>
        <v>CIRS_257SA_SHEMMAP001_VIMS</v>
      </c>
      <c r="C68" s="276" t="str">
        <f t="shared" si="3"/>
        <v>Co-add</v>
      </c>
      <c r="D68" s="412" t="str">
        <f>IF($K68&lt;192,"",IF($K68&gt;597,"",IF(VLOOKUP($K68,'CIRS Table Info'!$B$6:$J$425,4,FALSE)="Data",VLOOKUP($K68,'CIRS Table Info'!$B$6:$J$425,3,FALSE),"")))</f>
        <v>Co-add</v>
      </c>
      <c r="E68" s="413" t="str">
        <f>IF($K68&lt;192,"",IF($K68&gt;597,"",IF(VLOOKUP($K68,'CIRS Table Info'!$B$6:$J$425,5,FALSE)="Data",VLOOKUP($K68,'CIRS Table Info'!$B$6:$J$425,3,FALSE),"")))</f>
        <v>Co-add</v>
      </c>
      <c r="F68" s="414" t="str">
        <f>IF($K68&lt;192,"",IF($K68&gt;597,"",IF(VLOOKUP($K68,'CIRS Table Info'!$B$6:$J$425,7,FALSE)="Data",VLOOKUP($K68,'CIRS Table Info'!$B$6:$J$425,3,FALSE),"")))</f>
        <v>Co-add</v>
      </c>
      <c r="G68" s="415">
        <f>IF($K68&lt;192,"",IF($K68&gt;597,"",VLOOKUP($K68,'CIRS Table Info'!$B$6:$J$425,2,FALSE)))</f>
        <v>2.85</v>
      </c>
      <c r="H68" s="412" t="str">
        <f>IF($K68&lt;192,"",IF($K68&gt;597,"",VLOOKUP($K68,'CIRS Table Info'!$B$6:$J$425,6,FALSE)))</f>
        <v>Pairs</v>
      </c>
      <c r="I68" s="414" t="str">
        <f>IF($K68&lt;192,"",IF($K68&gt;597,"",VLOOKUP($K68,'CIRS Table Info'!$B$6:$J$425,8,FALSE)))</f>
        <v>Pairs</v>
      </c>
      <c r="J68" s="423">
        <f t="shared" si="4"/>
        <v>6.5972222222222196E-2</v>
      </c>
      <c r="K68" s="141">
        <f t="shared" si="5"/>
        <v>422</v>
      </c>
      <c r="L68" s="76">
        <f>VLOOKUP($B68,'CIRS Table IDs'!$B:$P,15,FALSE)</f>
        <v>1</v>
      </c>
      <c r="M68" s="415">
        <f>IF($K68&lt;192,"",IF($K68&gt;597,"",VLOOKUP($K68,'CIRS Table Info'!$B$6:$K$425,10,FALSE)))</f>
        <v>2</v>
      </c>
      <c r="N68" s="456"/>
      <c r="O68" s="455"/>
      <c r="P68" s="83">
        <f t="shared" si="8"/>
        <v>1</v>
      </c>
      <c r="Q68" s="70" t="str">
        <f t="shared" si="6"/>
        <v/>
      </c>
      <c r="R68" s="70"/>
    </row>
    <row r="69" spans="1:18" x14ac:dyDescent="0.2">
      <c r="A69" s="83">
        <f t="shared" si="2"/>
        <v>150</v>
      </c>
      <c r="B69" s="223" t="str">
        <f t="shared" si="2"/>
        <v>CIRS_257SA_SEQREGMAP001_VIMS</v>
      </c>
      <c r="C69" s="276" t="str">
        <f t="shared" si="3"/>
        <v>Co-add</v>
      </c>
      <c r="D69" s="412" t="str">
        <f>IF($K69&lt;192,"",IF($K69&gt;597,"",IF(VLOOKUP($K69,'CIRS Table Info'!$B$6:$J$425,4,FALSE)="Data",VLOOKUP($K69,'CIRS Table Info'!$B$6:$J$425,3,FALSE),"")))</f>
        <v>Co-add</v>
      </c>
      <c r="E69" s="413" t="str">
        <f>IF($K69&lt;192,"",IF($K69&gt;597,"",IF(VLOOKUP($K69,'CIRS Table Info'!$B$6:$J$425,5,FALSE)="Data",VLOOKUP($K69,'CIRS Table Info'!$B$6:$J$425,3,FALSE),"")))</f>
        <v>Co-add</v>
      </c>
      <c r="F69" s="414" t="str">
        <f>IF($K69&lt;192,"",IF($K69&gt;597,"",IF(VLOOKUP($K69,'CIRS Table Info'!$B$6:$J$425,7,FALSE)="Data",VLOOKUP($K69,'CIRS Table Info'!$B$6:$J$425,3,FALSE),"")))</f>
        <v>Co-add</v>
      </c>
      <c r="G69" s="415">
        <f>IF($K69&lt;192,"",IF($K69&gt;597,"",VLOOKUP($K69,'CIRS Table Info'!$B$6:$J$425,2,FALSE)))</f>
        <v>2.85</v>
      </c>
      <c r="H69" s="412" t="str">
        <f>IF($K69&lt;192,"",IF($K69&gt;597,"",VLOOKUP($K69,'CIRS Table Info'!$B$6:$J$425,6,FALSE)))</f>
        <v>Pairs</v>
      </c>
      <c r="I69" s="414" t="str">
        <f>IF($K69&lt;192,"",IF($K69&gt;597,"",VLOOKUP($K69,'CIRS Table Info'!$B$6:$J$425,8,FALSE)))</f>
        <v>Pairs</v>
      </c>
      <c r="J69" s="423">
        <f t="shared" si="4"/>
        <v>0.100694444444444</v>
      </c>
      <c r="K69" s="141">
        <f t="shared" si="5"/>
        <v>472</v>
      </c>
      <c r="L69" s="76">
        <f>VLOOKUP($B69,'CIRS Table IDs'!$B:$P,15,FALSE)</f>
        <v>1</v>
      </c>
      <c r="M69" s="415">
        <f>IF($K69&lt;192,"",IF($K69&gt;597,"",VLOOKUP($K69,'CIRS Table Info'!$B$6:$K$425,10,FALSE)))</f>
        <v>3</v>
      </c>
      <c r="N69" s="456"/>
      <c r="O69" s="455"/>
      <c r="P69" s="83">
        <f t="shared" si="8"/>
        <v>1</v>
      </c>
      <c r="Q69" s="70" t="str">
        <f t="shared" si="6"/>
        <v/>
      </c>
      <c r="R69" s="70"/>
    </row>
    <row r="70" spans="1:18" x14ac:dyDescent="0.2">
      <c r="A70" s="83">
        <f t="shared" si="2"/>
        <v>151</v>
      </c>
      <c r="B70" s="223" t="str">
        <f t="shared" si="2"/>
        <v>CIRS_257SA_AURSTARE002_UVIS</v>
      </c>
      <c r="C70" s="276" t="str">
        <f t="shared" si="3"/>
        <v>Co-add</v>
      </c>
      <c r="D70" s="412" t="str">
        <f>IF($K70&lt;192,"",IF($K70&gt;597,"",IF(VLOOKUP($K70,'CIRS Table Info'!$B$6:$J$425,4,FALSE)="Data",VLOOKUP($K70,'CIRS Table Info'!$B$6:$J$425,3,FALSE),"")))</f>
        <v>Co-add</v>
      </c>
      <c r="E70" s="413" t="str">
        <f>IF($K70&lt;192,"",IF($K70&gt;597,"",IF(VLOOKUP($K70,'CIRS Table Info'!$B$6:$J$425,5,FALSE)="Data",VLOOKUP($K70,'CIRS Table Info'!$B$6:$J$425,3,FALSE),"")))</f>
        <v>Co-add</v>
      </c>
      <c r="F70" s="414" t="str">
        <f>IF($K70&lt;192,"",IF($K70&gt;597,"",IF(VLOOKUP($K70,'CIRS Table Info'!$B$6:$J$425,7,FALSE)="Data",VLOOKUP($K70,'CIRS Table Info'!$B$6:$J$425,3,FALSE),"")))</f>
        <v>Co-add</v>
      </c>
      <c r="G70" s="415">
        <f>IF($K70&lt;192,"",IF($K70&gt;597,"",VLOOKUP($K70,'CIRS Table Info'!$B$6:$J$425,2,FALSE)))</f>
        <v>2.85</v>
      </c>
      <c r="H70" s="412" t="str">
        <f>IF($K70&lt;192,"",IF($K70&gt;597,"",VLOOKUP($K70,'CIRS Table Info'!$B$6:$J$425,6,FALSE)))</f>
        <v>Pairs</v>
      </c>
      <c r="I70" s="414" t="str">
        <f>IF($K70&lt;192,"",IF($K70&gt;597,"",VLOOKUP($K70,'CIRS Table Info'!$B$6:$J$425,8,FALSE)))</f>
        <v>Pairs</v>
      </c>
      <c r="J70" s="423">
        <f t="shared" si="4"/>
        <v>6.5972222222222196E-2</v>
      </c>
      <c r="K70" s="141">
        <f t="shared" si="5"/>
        <v>422</v>
      </c>
      <c r="L70" s="76">
        <f>VLOOKUP($B70,'CIRS Table IDs'!$B:$P,15,FALSE)</f>
        <v>1</v>
      </c>
      <c r="M70" s="415">
        <f>IF($K70&lt;192,"",IF($K70&gt;597,"",VLOOKUP($K70,'CIRS Table Info'!$B$6:$K$425,10,FALSE)))</f>
        <v>2</v>
      </c>
      <c r="N70" s="456"/>
      <c r="O70" s="455"/>
      <c r="P70" s="83">
        <f t="shared" si="8"/>
        <v>1</v>
      </c>
      <c r="Q70" s="70" t="str">
        <f t="shared" si="6"/>
        <v/>
      </c>
      <c r="R70" s="70"/>
    </row>
    <row r="71" spans="1:18" x14ac:dyDescent="0.2">
      <c r="A71" s="83">
        <f t="shared" si="2"/>
        <v>153</v>
      </c>
      <c r="B71" s="223" t="str">
        <f t="shared" si="2"/>
        <v>CIRS_257SA_EUVFUV001_UVIS</v>
      </c>
      <c r="C71" s="276" t="str">
        <f t="shared" si="3"/>
        <v>Co-add</v>
      </c>
      <c r="D71" s="412" t="str">
        <f>IF($K71&lt;192,"",IF($K71&gt;597,"",IF(VLOOKUP($K71,'CIRS Table Info'!$B$6:$J$425,4,FALSE)="Data",VLOOKUP($K71,'CIRS Table Info'!$B$6:$J$425,3,FALSE),"")))</f>
        <v>Co-add</v>
      </c>
      <c r="E71" s="413" t="str">
        <f>IF($K71&lt;192,"",IF($K71&gt;597,"",IF(VLOOKUP($K71,'CIRS Table Info'!$B$6:$J$425,5,FALSE)="Data",VLOOKUP($K71,'CIRS Table Info'!$B$6:$J$425,3,FALSE),"")))</f>
        <v>Co-add</v>
      </c>
      <c r="F71" s="414" t="str">
        <f>IF($K71&lt;192,"",IF($K71&gt;597,"",IF(VLOOKUP($K71,'CIRS Table Info'!$B$6:$J$425,7,FALSE)="Data",VLOOKUP($K71,'CIRS Table Info'!$B$6:$J$425,3,FALSE),"")))</f>
        <v>Co-add</v>
      </c>
      <c r="G71" s="415">
        <f>IF($K71&lt;192,"",IF($K71&gt;597,"",VLOOKUP($K71,'CIRS Table Info'!$B$6:$J$425,2,FALSE)))</f>
        <v>2.85</v>
      </c>
      <c r="H71" s="412" t="str">
        <f>IF($K71&lt;192,"",IF($K71&gt;597,"",VLOOKUP($K71,'CIRS Table Info'!$B$6:$J$425,6,FALSE)))</f>
        <v>Pairs</v>
      </c>
      <c r="I71" s="414" t="str">
        <f>IF($K71&lt;192,"",IF($K71&gt;597,"",VLOOKUP($K71,'CIRS Table Info'!$B$6:$J$425,8,FALSE)))</f>
        <v>Pairs</v>
      </c>
      <c r="J71" s="423">
        <f t="shared" si="4"/>
        <v>0.62361111111111101</v>
      </c>
      <c r="K71" s="141">
        <f t="shared" si="5"/>
        <v>572</v>
      </c>
      <c r="L71" s="76">
        <f>VLOOKUP($B71,'CIRS Table IDs'!$B:$P,15,FALSE)</f>
        <v>3</v>
      </c>
      <c r="M71" s="415">
        <f>IF($K71&lt;192,"",IF($K71&gt;597,"",VLOOKUP($K71,'CIRS Table Info'!$B$6:$K$425,10,FALSE)))</f>
        <v>5</v>
      </c>
      <c r="N71" s="456"/>
      <c r="O71" s="455"/>
      <c r="P71" s="83">
        <f t="shared" si="8"/>
        <v>1</v>
      </c>
      <c r="Q71" s="70" t="str">
        <f t="shared" si="6"/>
        <v/>
      </c>
      <c r="R71" s="70"/>
    </row>
    <row r="72" spans="1:18" x14ac:dyDescent="0.2">
      <c r="A72" s="83">
        <f t="shared" si="2"/>
        <v>155</v>
      </c>
      <c r="B72" s="223" t="str">
        <f t="shared" si="2"/>
        <v>CIRS_257SA_FIRMAP001_PRIME</v>
      </c>
      <c r="C72" s="276" t="str">
        <f t="shared" si="3"/>
        <v>No Co-add</v>
      </c>
      <c r="D72" s="412" t="str">
        <f>IF($K72&lt;192,"",IF($K72&gt;597,"",IF(VLOOKUP($K72,'CIRS Table Info'!$B$6:$J$425,4,FALSE)="Data",VLOOKUP($K72,'CIRS Table Info'!$B$6:$J$425,3,FALSE),"")))</f>
        <v>No Co-add</v>
      </c>
      <c r="E72" s="413" t="str">
        <f>IF($K72&lt;192,"",IF($K72&gt;597,"",IF(VLOOKUP($K72,'CIRS Table Info'!$B$6:$J$425,5,FALSE)="Data",VLOOKUP($K72,'CIRS Table Info'!$B$6:$J$425,3,FALSE),"")))</f>
        <v>No Co-add</v>
      </c>
      <c r="F72" s="414" t="str">
        <f>IF($K72&lt;192,"",IF($K72&gt;597,"",IF(VLOOKUP($K72,'CIRS Table Info'!$B$6:$J$425,7,FALSE)="Data",VLOOKUP($K72,'CIRS Table Info'!$B$6:$J$425,3,FALSE),"")))</f>
        <v>No Co-add</v>
      </c>
      <c r="G72" s="415">
        <f>IF($K72&lt;192,"",IF($K72&gt;597,"",VLOOKUP($K72,'CIRS Table Info'!$B$6:$J$425,2,FALSE)))</f>
        <v>15.67</v>
      </c>
      <c r="H72" s="412" t="str">
        <f>IF($K72&lt;192,"",IF($K72&gt;597,"",VLOOKUP($K72,'CIRS Table Info'!$B$6:$J$425,6,FALSE)))</f>
        <v>Pairs</v>
      </c>
      <c r="I72" s="414" t="str">
        <f>IF($K72&lt;192,"",IF($K72&gt;597,"",VLOOKUP($K72,'CIRS Table Info'!$B$6:$J$425,8,FALSE)))</f>
        <v>Pairs</v>
      </c>
      <c r="J72" s="423">
        <f t="shared" si="4"/>
        <v>0.52638888888888902</v>
      </c>
      <c r="K72" s="141">
        <f t="shared" si="5"/>
        <v>210</v>
      </c>
      <c r="L72" s="76" t="str">
        <f>VLOOKUP($B72,'CIRS Table IDs'!$B:$P,15,FALSE)</f>
        <v>1,1,1</v>
      </c>
      <c r="M72" s="415" t="str">
        <f>IF($K72&lt;192,"",IF($K72&gt;597,"",VLOOKUP($K72,'CIRS Table Info'!$B$6:$K$425,10,FALSE)))</f>
        <v>N\A</v>
      </c>
      <c r="N72" s="456"/>
      <c r="O72" s="455"/>
      <c r="P72" s="83">
        <f t="shared" si="8"/>
        <v>1</v>
      </c>
      <c r="Q72" s="70" t="str">
        <f t="shared" si="6"/>
        <v/>
      </c>
      <c r="R72" s="70"/>
    </row>
    <row r="73" spans="1:18" x14ac:dyDescent="0.2">
      <c r="A73" s="83">
        <f t="shared" si="2"/>
        <v>158</v>
      </c>
      <c r="B73" s="223" t="str">
        <f t="shared" si="2"/>
        <v>CIRS_258SA_EUVFUV001_UVIS</v>
      </c>
      <c r="C73" s="276" t="str">
        <f t="shared" si="3"/>
        <v>Co-add</v>
      </c>
      <c r="D73" s="412" t="str">
        <f>IF($K73&lt;192,"",IF($K73&gt;597,"",IF(VLOOKUP($K73,'CIRS Table Info'!$B$6:$J$425,4,FALSE)="Data",VLOOKUP($K73,'CIRS Table Info'!$B$6:$J$425,3,FALSE),"")))</f>
        <v>Co-add</v>
      </c>
      <c r="E73" s="413" t="str">
        <f>IF($K73&lt;192,"",IF($K73&gt;597,"",IF(VLOOKUP($K73,'CIRS Table Info'!$B$6:$J$425,5,FALSE)="Data",VLOOKUP($K73,'CIRS Table Info'!$B$6:$J$425,3,FALSE),"")))</f>
        <v>Co-add</v>
      </c>
      <c r="F73" s="414" t="str">
        <f>IF($K73&lt;192,"",IF($K73&gt;597,"",IF(VLOOKUP($K73,'CIRS Table Info'!$B$6:$J$425,7,FALSE)="Data",VLOOKUP($K73,'CIRS Table Info'!$B$6:$J$425,3,FALSE),"")))</f>
        <v>Co-add</v>
      </c>
      <c r="G73" s="415">
        <f>IF($K73&lt;192,"",IF($K73&gt;597,"",VLOOKUP($K73,'CIRS Table Info'!$B$6:$J$425,2,FALSE)))</f>
        <v>2.85</v>
      </c>
      <c r="H73" s="412" t="str">
        <f>IF($K73&lt;192,"",IF($K73&gt;597,"",VLOOKUP($K73,'CIRS Table Info'!$B$6:$J$425,6,FALSE)))</f>
        <v>Pairs</v>
      </c>
      <c r="I73" s="414" t="str">
        <f>IF($K73&lt;192,"",IF($K73&gt;597,"",VLOOKUP($K73,'CIRS Table Info'!$B$6:$J$425,8,FALSE)))</f>
        <v>Pairs</v>
      </c>
      <c r="J73" s="423">
        <f t="shared" si="4"/>
        <v>0.43888888888888899</v>
      </c>
      <c r="K73" s="141">
        <f t="shared" si="5"/>
        <v>572</v>
      </c>
      <c r="L73" s="76">
        <f>VLOOKUP($B73,'CIRS Table IDs'!$B:$P,15,FALSE)</f>
        <v>2</v>
      </c>
      <c r="M73" s="415">
        <f>IF($K73&lt;192,"",IF($K73&gt;597,"",VLOOKUP($K73,'CIRS Table Info'!$B$6:$K$425,10,FALSE)))</f>
        <v>5</v>
      </c>
      <c r="N73" s="456"/>
      <c r="O73" s="455"/>
      <c r="P73" s="83">
        <f t="shared" si="8"/>
        <v>1</v>
      </c>
      <c r="Q73" s="70" t="str">
        <f t="shared" si="6"/>
        <v/>
      </c>
      <c r="R73" s="70"/>
    </row>
    <row r="74" spans="1:18" x14ac:dyDescent="0.2">
      <c r="A74" s="83">
        <f t="shared" si="2"/>
        <v>160</v>
      </c>
      <c r="B74" s="223" t="str">
        <f t="shared" si="2"/>
        <v>CIRS_258SA_EUVFUV002_UVIS</v>
      </c>
      <c r="C74" s="276" t="str">
        <f t="shared" si="3"/>
        <v>Co-add</v>
      </c>
      <c r="D74" s="412" t="str">
        <f>IF($K74&lt;192,"",IF($K74&gt;597,"",IF(VLOOKUP($K74,'CIRS Table Info'!$B$6:$J$425,4,FALSE)="Data",VLOOKUP($K74,'CIRS Table Info'!$B$6:$J$425,3,FALSE),"")))</f>
        <v>Co-add</v>
      </c>
      <c r="E74" s="413" t="str">
        <f>IF($K74&lt;192,"",IF($K74&gt;597,"",IF(VLOOKUP($K74,'CIRS Table Info'!$B$6:$J$425,5,FALSE)="Data",VLOOKUP($K74,'CIRS Table Info'!$B$6:$J$425,3,FALSE),"")))</f>
        <v>Co-add</v>
      </c>
      <c r="F74" s="414" t="str">
        <f>IF($K74&lt;192,"",IF($K74&gt;597,"",IF(VLOOKUP($K74,'CIRS Table Info'!$B$6:$J$425,7,FALSE)="Data",VLOOKUP($K74,'CIRS Table Info'!$B$6:$J$425,3,FALSE),"")))</f>
        <v>Co-add</v>
      </c>
      <c r="G74" s="415">
        <f>IF($K74&lt;192,"",IF($K74&gt;597,"",VLOOKUP($K74,'CIRS Table Info'!$B$6:$J$425,2,FALSE)))</f>
        <v>2.85</v>
      </c>
      <c r="H74" s="412" t="str">
        <f>IF($K74&lt;192,"",IF($K74&gt;597,"",VLOOKUP($K74,'CIRS Table Info'!$B$6:$J$425,6,FALSE)))</f>
        <v>Pairs</v>
      </c>
      <c r="I74" s="414" t="str">
        <f>IF($K74&lt;192,"",IF($K74&gt;597,"",VLOOKUP($K74,'CIRS Table Info'!$B$6:$J$425,8,FALSE)))</f>
        <v>Pairs</v>
      </c>
      <c r="J74" s="423">
        <f t="shared" si="4"/>
        <v>0.36111111111111099</v>
      </c>
      <c r="K74" s="141">
        <f t="shared" si="5"/>
        <v>572</v>
      </c>
      <c r="L74" s="76">
        <f>VLOOKUP($B74,'CIRS Table IDs'!$B:$P,15,FALSE)</f>
        <v>2</v>
      </c>
      <c r="M74" s="415">
        <f>IF($K74&lt;192,"",IF($K74&gt;597,"",VLOOKUP($K74,'CIRS Table Info'!$B$6:$K$425,10,FALSE)))</f>
        <v>5</v>
      </c>
      <c r="N74" s="456"/>
      <c r="O74" s="455"/>
      <c r="P74" s="83">
        <f t="shared" si="8"/>
        <v>1</v>
      </c>
      <c r="Q74" s="70" t="str">
        <f t="shared" si="6"/>
        <v/>
      </c>
      <c r="R74" s="70"/>
    </row>
    <row r="75" spans="1:18" x14ac:dyDescent="0.2">
      <c r="A75" s="83">
        <f t="shared" si="2"/>
        <v>162</v>
      </c>
      <c r="B75" s="223" t="str">
        <f t="shared" si="2"/>
        <v>CIRS_258SA_AURSLEW001_UVIS</v>
      </c>
      <c r="C75" s="276" t="str">
        <f t="shared" si="3"/>
        <v>Co-add</v>
      </c>
      <c r="D75" s="412" t="str">
        <f>IF($K75&lt;192,"",IF($K75&gt;597,"",IF(VLOOKUP($K75,'CIRS Table Info'!$B$6:$J$425,4,FALSE)="Data",VLOOKUP($K75,'CIRS Table Info'!$B$6:$J$425,3,FALSE),"")))</f>
        <v>Co-add</v>
      </c>
      <c r="E75" s="413" t="str">
        <f>IF($K75&lt;192,"",IF($K75&gt;597,"",IF(VLOOKUP($K75,'CIRS Table Info'!$B$6:$J$425,5,FALSE)="Data",VLOOKUP($K75,'CIRS Table Info'!$B$6:$J$425,3,FALSE),"")))</f>
        <v>Co-add</v>
      </c>
      <c r="F75" s="414" t="str">
        <f>IF($K75&lt;192,"",IF($K75&gt;597,"",IF(VLOOKUP($K75,'CIRS Table Info'!$B$6:$J$425,7,FALSE)="Data",VLOOKUP($K75,'CIRS Table Info'!$B$6:$J$425,3,FALSE),"")))</f>
        <v>Co-add</v>
      </c>
      <c r="G75" s="415">
        <f>IF($K75&lt;192,"",IF($K75&gt;597,"",VLOOKUP($K75,'CIRS Table Info'!$B$6:$J$425,2,FALSE)))</f>
        <v>2.85</v>
      </c>
      <c r="H75" s="412" t="str">
        <f>IF($K75&lt;192,"",IF($K75&gt;597,"",VLOOKUP($K75,'CIRS Table Info'!$B$6:$J$425,6,FALSE)))</f>
        <v>Pairs</v>
      </c>
      <c r="I75" s="414" t="str">
        <f>IF($K75&lt;192,"",IF($K75&gt;597,"",VLOOKUP($K75,'CIRS Table Info'!$B$6:$J$425,8,FALSE)))</f>
        <v>Pairs</v>
      </c>
      <c r="J75" s="423">
        <f t="shared" si="4"/>
        <v>0.42361111111111099</v>
      </c>
      <c r="K75" s="141">
        <f t="shared" si="5"/>
        <v>572</v>
      </c>
      <c r="L75" s="76">
        <f>VLOOKUP($B75,'CIRS Table IDs'!$B:$P,15,FALSE)</f>
        <v>2</v>
      </c>
      <c r="M75" s="415">
        <f>IF($K75&lt;192,"",IF($K75&gt;597,"",VLOOKUP($K75,'CIRS Table Info'!$B$6:$K$425,10,FALSE)))</f>
        <v>5</v>
      </c>
      <c r="N75" s="456"/>
      <c r="O75" s="455"/>
      <c r="P75" s="83">
        <f t="shared" si="8"/>
        <v>1</v>
      </c>
      <c r="Q75" s="70" t="str">
        <f t="shared" si="6"/>
        <v/>
      </c>
      <c r="R75" s="70"/>
    </row>
    <row r="76" spans="1:18" x14ac:dyDescent="0.2">
      <c r="A76" s="83">
        <f t="shared" si="2"/>
        <v>163</v>
      </c>
      <c r="B76" s="223" t="str">
        <f t="shared" si="2"/>
        <v>CIRS_258SA_AURSTARE001_VIMS</v>
      </c>
      <c r="C76" s="276" t="str">
        <f t="shared" si="3"/>
        <v>Co-add</v>
      </c>
      <c r="D76" s="412" t="str">
        <f>IF($K76&lt;192,"",IF($K76&gt;597,"",IF(VLOOKUP($K76,'CIRS Table Info'!$B$6:$J$425,4,FALSE)="Data",VLOOKUP($K76,'CIRS Table Info'!$B$6:$J$425,3,FALSE),"")))</f>
        <v>Co-add</v>
      </c>
      <c r="E76" s="413" t="str">
        <f>IF($K76&lt;192,"",IF($K76&gt;597,"",IF(VLOOKUP($K76,'CIRS Table Info'!$B$6:$J$425,5,FALSE)="Data",VLOOKUP($K76,'CIRS Table Info'!$B$6:$J$425,3,FALSE),"")))</f>
        <v>Co-add</v>
      </c>
      <c r="F76" s="414" t="str">
        <f>IF($K76&lt;192,"",IF($K76&gt;597,"",IF(VLOOKUP($K76,'CIRS Table Info'!$B$6:$J$425,7,FALSE)="Data",VLOOKUP($K76,'CIRS Table Info'!$B$6:$J$425,3,FALSE),"")))</f>
        <v>Co-add</v>
      </c>
      <c r="G76" s="415">
        <f>IF($K76&lt;192,"",IF($K76&gt;597,"",VLOOKUP($K76,'CIRS Table Info'!$B$6:$J$425,2,FALSE)))</f>
        <v>2.85</v>
      </c>
      <c r="H76" s="412" t="str">
        <f>IF($K76&lt;192,"",IF($K76&gt;597,"",VLOOKUP($K76,'CIRS Table Info'!$B$6:$J$425,6,FALSE)))</f>
        <v>Pairs</v>
      </c>
      <c r="I76" s="414" t="str">
        <f>IF($K76&lt;192,"",IF($K76&gt;597,"",VLOOKUP($K76,'CIRS Table Info'!$B$6:$J$425,8,FALSE)))</f>
        <v>Pairs</v>
      </c>
      <c r="J76" s="423">
        <f t="shared" si="4"/>
        <v>0.327777777777778</v>
      </c>
      <c r="K76" s="141">
        <f t="shared" si="5"/>
        <v>572</v>
      </c>
      <c r="L76" s="76">
        <f>VLOOKUP($B76,'CIRS Table IDs'!$B:$P,15,FALSE)</f>
        <v>2</v>
      </c>
      <c r="M76" s="415">
        <f>IF($K76&lt;192,"",IF($K76&gt;597,"",VLOOKUP($K76,'CIRS Table Info'!$B$6:$K$425,10,FALSE)))</f>
        <v>5</v>
      </c>
      <c r="N76" s="456"/>
      <c r="O76" s="455"/>
      <c r="P76" s="83">
        <f t="shared" si="8"/>
        <v>1</v>
      </c>
      <c r="Q76" s="70" t="str">
        <f t="shared" ref="Q76" si="9">IF($R37&lt;200,"",IF($R37&gt;=300,"",IF(MOD(MOD($R37,25)-3,6)&lt;3,"Yes","")))</f>
        <v/>
      </c>
      <c r="R76" s="70"/>
    </row>
    <row r="77" spans="1:18" x14ac:dyDescent="0.2">
      <c r="A77" s="83">
        <f t="shared" si="2"/>
        <v>173</v>
      </c>
      <c r="B77" s="223" t="str">
        <f t="shared" si="2"/>
        <v>CIRS_259SA_AURSLEW001_UVIS</v>
      </c>
      <c r="C77" s="276" t="str">
        <f t="shared" si="3"/>
        <v>Co-add</v>
      </c>
      <c r="D77" s="412" t="str">
        <f>IF($K77&lt;192,"",IF($K77&gt;597,"",IF(VLOOKUP($K77,'CIRS Table Info'!$B$6:$J$425,4,FALSE)="Data",VLOOKUP($K77,'CIRS Table Info'!$B$6:$J$425,3,FALSE),"")))</f>
        <v>Co-add</v>
      </c>
      <c r="E77" s="413" t="str">
        <f>IF($K77&lt;192,"",IF($K77&gt;597,"",IF(VLOOKUP($K77,'CIRS Table Info'!$B$6:$J$425,5,FALSE)="Data",VLOOKUP($K77,'CIRS Table Info'!$B$6:$J$425,3,FALSE),"")))</f>
        <v>Co-add</v>
      </c>
      <c r="F77" s="414" t="str">
        <f>IF($K77&lt;192,"",IF($K77&gt;597,"",IF(VLOOKUP($K77,'CIRS Table Info'!$B$6:$J$425,7,FALSE)="Data",VLOOKUP($K77,'CIRS Table Info'!$B$6:$J$425,3,FALSE),"")))</f>
        <v>Co-add</v>
      </c>
      <c r="G77" s="415">
        <f>IF($K77&lt;192,"",IF($K77&gt;597,"",VLOOKUP($K77,'CIRS Table Info'!$B$6:$J$425,2,FALSE)))</f>
        <v>2.85</v>
      </c>
      <c r="H77" s="412" t="str">
        <f>IF($K77&lt;192,"",IF($K77&gt;597,"",VLOOKUP($K77,'CIRS Table Info'!$B$6:$J$425,6,FALSE)))</f>
        <v>Pairs</v>
      </c>
      <c r="I77" s="414" t="str">
        <f>IF($K77&lt;192,"",IF($K77&gt;597,"",VLOOKUP($K77,'CIRS Table Info'!$B$6:$J$425,8,FALSE)))</f>
        <v>Pairs</v>
      </c>
      <c r="J77" s="423">
        <f t="shared" si="4"/>
        <v>0.45833333333333298</v>
      </c>
      <c r="K77" s="141">
        <f t="shared" si="5"/>
        <v>572</v>
      </c>
      <c r="L77" s="76">
        <f>VLOOKUP($B77,'CIRS Table IDs'!$B:$P,15,FALSE)</f>
        <v>2</v>
      </c>
      <c r="M77" s="415">
        <f>IF($K77&lt;192,"",IF($K77&gt;597,"",VLOOKUP($K77,'CIRS Table Info'!$B$6:$K$425,10,FALSE)))</f>
        <v>5</v>
      </c>
      <c r="N77" s="457"/>
      <c r="O77" s="455"/>
      <c r="P77" s="83">
        <f t="shared" si="7"/>
        <v>1</v>
      </c>
      <c r="Q77" s="70" t="str">
        <f>IF($R38&lt;200,"",IF($R38&gt;=300,"",IF(MOD(MOD($R38,25)-3,6)&lt;3,"Yes","")))</f>
        <v/>
      </c>
      <c r="R77" s="70"/>
    </row>
    <row r="78" spans="1:18" ht="15.75" thickBot="1" x14ac:dyDescent="0.25">
      <c r="A78" s="83"/>
      <c r="B78" s="458"/>
      <c r="C78" s="225"/>
      <c r="D78" s="226"/>
      <c r="E78" s="419"/>
      <c r="F78" s="227"/>
      <c r="G78" s="459"/>
      <c r="H78" s="460"/>
      <c r="I78" s="461"/>
      <c r="J78" s="424"/>
      <c r="K78" s="425"/>
      <c r="L78" s="425"/>
      <c r="M78" s="462"/>
      <c r="N78" s="463"/>
      <c r="O78" s="455"/>
      <c r="P78" s="83"/>
      <c r="Q78" s="70"/>
      <c r="R78" s="70"/>
    </row>
    <row r="79" spans="1:18" x14ac:dyDescent="0.2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83"/>
      <c r="P79" s="83"/>
      <c r="Q79" s="70"/>
      <c r="R79" s="70"/>
    </row>
    <row r="80" spans="1:18" x14ac:dyDescent="0.2">
      <c r="A80" s="70">
        <f>COUNTA(A47:A78)</f>
        <v>30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83">
        <f>SUM(O47:O78)</f>
        <v>0</v>
      </c>
      <c r="P80" s="83">
        <f>SUM(P47:P78)</f>
        <v>30</v>
      </c>
      <c r="Q80" s="70"/>
      <c r="R80" s="70"/>
    </row>
    <row r="81" spans="1:18" ht="15.75" thickBot="1" x14ac:dyDescent="0.25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</row>
    <row r="82" spans="1:18" ht="21.6" customHeight="1" x14ac:dyDescent="0.2">
      <c r="A82" s="70"/>
      <c r="B82" s="587" t="s">
        <v>252</v>
      </c>
      <c r="C82" s="623" t="s">
        <v>18</v>
      </c>
      <c r="D82" s="604"/>
      <c r="E82" s="604"/>
      <c r="F82" s="594"/>
      <c r="G82" s="442" t="s">
        <v>19</v>
      </c>
      <c r="H82" s="623" t="s">
        <v>20</v>
      </c>
      <c r="I82" s="604"/>
      <c r="J82" s="604"/>
      <c r="K82" s="594"/>
      <c r="L82" s="589" t="s">
        <v>22</v>
      </c>
      <c r="M82" s="444"/>
      <c r="N82" s="219"/>
      <c r="O82" s="70"/>
      <c r="P82" s="70"/>
      <c r="Q82" s="70"/>
      <c r="R82" s="70"/>
    </row>
    <row r="83" spans="1:18" ht="21.6" customHeight="1" thickBot="1" x14ac:dyDescent="0.25">
      <c r="A83" s="70"/>
      <c r="B83" s="588"/>
      <c r="C83" s="190" t="s">
        <v>25</v>
      </c>
      <c r="D83" s="88" t="s">
        <v>26</v>
      </c>
      <c r="E83" s="88" t="s">
        <v>27</v>
      </c>
      <c r="F83" s="89" t="s">
        <v>28</v>
      </c>
      <c r="G83" s="89" t="s">
        <v>28</v>
      </c>
      <c r="H83" s="190" t="s">
        <v>25</v>
      </c>
      <c r="I83" s="87" t="s">
        <v>26</v>
      </c>
      <c r="J83" s="88" t="s">
        <v>27</v>
      </c>
      <c r="K83" s="89" t="s">
        <v>28</v>
      </c>
      <c r="L83" s="590"/>
      <c r="M83" s="444"/>
      <c r="N83" s="219"/>
      <c r="O83" s="70"/>
      <c r="P83" s="70"/>
      <c r="Q83" s="70"/>
      <c r="R83" s="70"/>
    </row>
    <row r="84" spans="1:18" x14ac:dyDescent="0.2">
      <c r="A84" s="70"/>
      <c r="B84" s="74"/>
      <c r="C84" s="196"/>
      <c r="D84" s="197"/>
      <c r="E84" s="197"/>
      <c r="F84" s="198"/>
      <c r="G84" s="464"/>
      <c r="H84" s="196"/>
      <c r="I84" s="465"/>
      <c r="J84" s="197"/>
      <c r="K84" s="198"/>
      <c r="L84" s="75"/>
      <c r="M84" s="219"/>
      <c r="N84" s="219"/>
      <c r="O84" s="70"/>
      <c r="P84" s="70"/>
      <c r="Q84" s="70"/>
      <c r="R84" s="70"/>
    </row>
    <row r="85" spans="1:18" x14ac:dyDescent="0.2">
      <c r="A85" s="70"/>
      <c r="B85" s="45"/>
      <c r="C85" s="297"/>
      <c r="D85" s="40"/>
      <c r="E85" s="40"/>
      <c r="F85" s="37"/>
      <c r="G85" s="178"/>
      <c r="H85" s="297"/>
      <c r="I85" s="40"/>
      <c r="J85" s="40"/>
      <c r="K85" s="37"/>
      <c r="L85" s="42"/>
      <c r="M85" s="219"/>
      <c r="N85" s="219"/>
      <c r="O85" s="70"/>
      <c r="P85" s="70"/>
      <c r="Q85" s="70"/>
      <c r="R85" s="70"/>
    </row>
    <row r="86" spans="1:18" x14ac:dyDescent="0.2">
      <c r="A86" s="70"/>
      <c r="B86" s="45"/>
      <c r="C86" s="297"/>
      <c r="D86" s="40"/>
      <c r="E86" s="40"/>
      <c r="F86" s="37"/>
      <c r="G86" s="178"/>
      <c r="H86" s="297"/>
      <c r="I86" s="40"/>
      <c r="J86" s="40"/>
      <c r="K86" s="37"/>
      <c r="L86" s="42"/>
      <c r="M86" s="219"/>
      <c r="N86" s="219"/>
      <c r="O86" s="70"/>
      <c r="P86" s="70"/>
      <c r="Q86" s="70"/>
      <c r="R86" s="70"/>
    </row>
    <row r="87" spans="1:18" x14ac:dyDescent="0.2">
      <c r="A87" s="70"/>
      <c r="B87" s="45"/>
      <c r="C87" s="297"/>
      <c r="D87" s="40"/>
      <c r="E87" s="40"/>
      <c r="F87" s="37"/>
      <c r="G87" s="178"/>
      <c r="H87" s="297"/>
      <c r="I87" s="40"/>
      <c r="J87" s="40"/>
      <c r="K87" s="37"/>
      <c r="L87" s="42"/>
      <c r="M87" s="219"/>
      <c r="N87" s="219"/>
      <c r="O87" s="70"/>
      <c r="P87" s="70"/>
      <c r="Q87" s="70"/>
      <c r="R87" s="70"/>
    </row>
    <row r="88" spans="1:18" x14ac:dyDescent="0.2">
      <c r="A88" s="70"/>
      <c r="B88" s="45"/>
      <c r="C88" s="297"/>
      <c r="D88" s="40"/>
      <c r="E88" s="40"/>
      <c r="F88" s="37"/>
      <c r="G88" s="178"/>
      <c r="H88" s="297"/>
      <c r="I88" s="40"/>
      <c r="J88" s="40"/>
      <c r="K88" s="37"/>
      <c r="L88" s="42"/>
      <c r="M88" s="219"/>
      <c r="N88" s="219"/>
      <c r="O88" s="70"/>
      <c r="P88" s="70"/>
      <c r="Q88" s="70"/>
      <c r="R88" s="70"/>
    </row>
    <row r="89" spans="1:18" x14ac:dyDescent="0.2">
      <c r="A89" s="70"/>
      <c r="B89" s="45"/>
      <c r="C89" s="297"/>
      <c r="D89" s="40"/>
      <c r="E89" s="40"/>
      <c r="F89" s="37"/>
      <c r="G89" s="178"/>
      <c r="H89" s="297"/>
      <c r="I89" s="40"/>
      <c r="J89" s="40"/>
      <c r="K89" s="37"/>
      <c r="L89" s="42"/>
      <c r="M89" s="219"/>
      <c r="N89" s="219"/>
      <c r="O89" s="70"/>
      <c r="P89" s="70"/>
      <c r="Q89" s="70"/>
      <c r="R89" s="70"/>
    </row>
    <row r="90" spans="1:18" ht="15.75" thickBot="1" x14ac:dyDescent="0.25">
      <c r="A90" s="70"/>
      <c r="B90" s="224"/>
      <c r="C90" s="240"/>
      <c r="D90" s="241"/>
      <c r="E90" s="241"/>
      <c r="F90" s="245"/>
      <c r="G90" s="243"/>
      <c r="H90" s="244"/>
      <c r="I90" s="241"/>
      <c r="J90" s="241"/>
      <c r="K90" s="245"/>
      <c r="L90" s="246"/>
      <c r="M90" s="127"/>
      <c r="N90" s="70"/>
      <c r="O90" s="70"/>
      <c r="P90" s="70"/>
      <c r="Q90" s="70"/>
      <c r="R90" s="70"/>
    </row>
    <row r="91" spans="1:18" x14ac:dyDescent="0.2">
      <c r="A91" s="70"/>
      <c r="B91" s="70"/>
      <c r="C91" s="247"/>
      <c r="D91" s="84"/>
      <c r="E91" s="84"/>
      <c r="F91" s="124"/>
      <c r="G91" s="124"/>
      <c r="H91" s="248"/>
      <c r="I91" s="84"/>
      <c r="J91" s="84"/>
      <c r="K91" s="124"/>
      <c r="L91" s="84"/>
      <c r="M91" s="127"/>
      <c r="N91" s="70"/>
      <c r="O91" s="70"/>
      <c r="P91" s="70"/>
      <c r="Q91" s="70"/>
      <c r="R91" s="70"/>
    </row>
    <row r="92" spans="1:18" x14ac:dyDescent="0.2">
      <c r="A92" s="70"/>
      <c r="B92" s="70"/>
      <c r="C92" s="247"/>
      <c r="D92" s="84"/>
      <c r="E92" s="84"/>
      <c r="F92" s="124"/>
      <c r="G92" s="124"/>
      <c r="H92" s="248"/>
      <c r="I92" s="84"/>
      <c r="J92" s="84"/>
      <c r="K92" s="124"/>
      <c r="L92" s="127"/>
      <c r="M92" s="127"/>
      <c r="N92" s="70"/>
      <c r="O92" s="70"/>
      <c r="P92" s="70"/>
      <c r="Q92" s="70"/>
      <c r="R92" s="70"/>
    </row>
    <row r="93" spans="1:18" x14ac:dyDescent="0.2">
      <c r="A93" s="70">
        <f>COUNTA(B84:B90)</f>
        <v>0</v>
      </c>
      <c r="B93" s="70" t="s">
        <v>253</v>
      </c>
      <c r="C93" s="70"/>
      <c r="D93" s="70"/>
      <c r="E93" s="84" t="s">
        <v>246</v>
      </c>
      <c r="F93" s="70">
        <f>DAY(G93)</f>
        <v>0</v>
      </c>
      <c r="G93" s="123">
        <f>SUM(G84:G90)</f>
        <v>0</v>
      </c>
      <c r="H93" s="123"/>
      <c r="I93" s="70"/>
      <c r="J93" s="70"/>
      <c r="K93" s="84" t="s">
        <v>34</v>
      </c>
      <c r="L93" s="127">
        <f>SUM(L84:L90)</f>
        <v>0</v>
      </c>
      <c r="M93" s="70" t="s">
        <v>35</v>
      </c>
      <c r="N93" s="70"/>
      <c r="O93" s="70"/>
      <c r="P93" s="70"/>
      <c r="Q93" s="70"/>
      <c r="R93" s="70"/>
    </row>
  </sheetData>
  <mergeCells count="25">
    <mergeCell ref="B5:B6"/>
    <mergeCell ref="O45:O46"/>
    <mergeCell ref="P45:P46"/>
    <mergeCell ref="O5:Q5"/>
    <mergeCell ref="B82:B83"/>
    <mergeCell ref="C82:F82"/>
    <mergeCell ref="H82:K82"/>
    <mergeCell ref="L82:L83"/>
    <mergeCell ref="N5:N6"/>
    <mergeCell ref="N45:N46"/>
    <mergeCell ref="M45:M46"/>
    <mergeCell ref="L45:L46"/>
    <mergeCell ref="C5:F5"/>
    <mergeCell ref="H5:K5"/>
    <mergeCell ref="B45:B46"/>
    <mergeCell ref="C45:C46"/>
    <mergeCell ref="R5:R6"/>
    <mergeCell ref="D45:F45"/>
    <mergeCell ref="G45:G46"/>
    <mergeCell ref="H45:I45"/>
    <mergeCell ref="L5:L6"/>
    <mergeCell ref="M5:M6"/>
    <mergeCell ref="J45:J46"/>
    <mergeCell ref="K45:K46"/>
    <mergeCell ref="Q45:Q46"/>
  </mergeCells>
  <conditionalFormatting sqref="C48:F77">
    <cfRule type="cellIs" dxfId="185" priority="125" operator="equal">
      <formula>"No Co-add"</formula>
    </cfRule>
    <cfRule type="cellIs" dxfId="184" priority="126" operator="equal">
      <formula>"Co-Add"</formula>
    </cfRule>
  </conditionalFormatting>
  <conditionalFormatting sqref="K48:K77">
    <cfRule type="containsErrors" dxfId="183" priority="123">
      <formula>ISERROR(K48)</formula>
    </cfRule>
    <cfRule type="cellIs" dxfId="182" priority="124" operator="lessThan">
      <formula>192</formula>
    </cfRule>
  </conditionalFormatting>
  <conditionalFormatting sqref="Q48:Q77">
    <cfRule type="cellIs" dxfId="181" priority="121" operator="equal">
      <formula>"Yes"</formula>
    </cfRule>
    <cfRule type="containsErrors" dxfId="180" priority="122">
      <formula>ISERROR(Q48)</formula>
    </cfRule>
  </conditionalFormatting>
  <conditionalFormatting sqref="Q77">
    <cfRule type="cellIs" dxfId="179" priority="119" operator="equal">
      <formula>"Yes"</formula>
    </cfRule>
    <cfRule type="containsErrors" dxfId="178" priority="120">
      <formula>ISERROR(Q77)</formula>
    </cfRule>
  </conditionalFormatting>
  <conditionalFormatting sqref="A48:A77">
    <cfRule type="expression" dxfId="177" priority="117">
      <formula>IF($Q48="Yes",TRUE,FALSE)</formula>
    </cfRule>
  </conditionalFormatting>
  <conditionalFormatting sqref="D48:D77">
    <cfRule type="expression" dxfId="176" priority="93">
      <formula>AND($C48&gt;0,$D48="")</formula>
    </cfRule>
    <cfRule type="expression" dxfId="175" priority="94">
      <formula>AND($C48="Co-add",$D48="")</formula>
    </cfRule>
    <cfRule type="expression" dxfId="174" priority="95">
      <formula>AND($C48&gt;0,$D48="")</formula>
    </cfRule>
    <cfRule type="expression" dxfId="173" priority="108">
      <formula>AND($C48="No Co-add",$D48="Co-add")</formula>
    </cfRule>
    <cfRule type="expression" dxfId="172" priority="109">
      <formula>AND($C48="Co-add",$D48="No Co-add")</formula>
    </cfRule>
    <cfRule type="expression" dxfId="171" priority="110">
      <formula>AND($C48&gt;0,$D48=" ")</formula>
    </cfRule>
    <cfRule type="expression" dxfId="170" priority="111">
      <formula>AND($C48=200,$D48="No Co-add")</formula>
    </cfRule>
    <cfRule type="expression" dxfId="169" priority="112">
      <formula>AND($C48=400,$D48="Co-add")</formula>
    </cfRule>
    <cfRule type="expression" dxfId="168" priority="113">
      <formula>AND($C48=1100,$D48="No Co-add")</formula>
    </cfRule>
    <cfRule type="expression" dxfId="167" priority="114">
      <formula>AND($C48=2200,$D48="Co-add")</formula>
    </cfRule>
    <cfRule type="expression" dxfId="166" priority="115">
      <formula>AND($C48="Co-add",$D48=" ")</formula>
    </cfRule>
    <cfRule type="expression" dxfId="165" priority="116">
      <formula>AND($C48="No Co-add",$D48=" ")</formula>
    </cfRule>
  </conditionalFormatting>
  <conditionalFormatting sqref="E48:E77">
    <cfRule type="expression" dxfId="164" priority="85">
      <formula>AND($C48&lt;1100,$E48="No Co-add")</formula>
    </cfRule>
    <cfRule type="expression" dxfId="163" priority="86">
      <formula>AND($C48&lt;1100,$E48="Co-add")</formula>
    </cfRule>
    <cfRule type="expression" dxfId="162" priority="90">
      <formula>AND($C48="No Co-add",$E48="")</formula>
    </cfRule>
    <cfRule type="expression" dxfId="161" priority="91">
      <formula>AND($C48="Co-add",$E48="")</formula>
    </cfRule>
    <cfRule type="expression" dxfId="160" priority="92">
      <formula>AND($C48&gt;1000,$E48="")</formula>
    </cfRule>
    <cfRule type="expression" dxfId="159" priority="101">
      <formula>AND($C48&gt;1000,$E48=" ")</formula>
    </cfRule>
    <cfRule type="expression" dxfId="158" priority="102">
      <formula>AND($C48=1100,$E48="No Co-add")</formula>
    </cfRule>
    <cfRule type="expression" dxfId="157" priority="103">
      <formula>AND($C48=2200,$E48="Co-add")</formula>
    </cfRule>
    <cfRule type="expression" dxfId="156" priority="104">
      <formula>AND($C48="Co-add",$E48=" ")</formula>
    </cfRule>
    <cfRule type="expression" dxfId="155" priority="105">
      <formula>AND($C48="Co-add",$E48="No Co-add")</formula>
    </cfRule>
    <cfRule type="expression" dxfId="154" priority="106">
      <formula>AND($C48="No Co-add",$E48=" ")</formula>
    </cfRule>
    <cfRule type="expression" dxfId="153" priority="107">
      <formula>AND($C48="No Co-add",$E48="Co-add")</formula>
    </cfRule>
  </conditionalFormatting>
  <conditionalFormatting sqref="F48:F77">
    <cfRule type="expression" dxfId="152" priority="83">
      <formula>AND($C48&lt;4000,$F48="No Co-add")</formula>
    </cfRule>
    <cfRule type="expression" dxfId="151" priority="84">
      <formula>AND($C48&lt;4000,$F48="Co-add")</formula>
    </cfRule>
    <cfRule type="expression" dxfId="150" priority="87">
      <formula>AND($C48&gt;4000,$F48="")</formula>
    </cfRule>
    <cfRule type="expression" dxfId="149" priority="88">
      <formula>AND($C48="No Co-add",$F48="")</formula>
    </cfRule>
    <cfRule type="expression" dxfId="148" priority="89">
      <formula>AND($C48="Co-add",F48="")</formula>
    </cfRule>
    <cfRule type="expression" dxfId="147" priority="96">
      <formula>AND($C48="Co-add",F48=" ")</formula>
    </cfRule>
    <cfRule type="expression" dxfId="146" priority="97">
      <formula>AND($C48="Co-add",$F48="No Co-add")</formula>
    </cfRule>
    <cfRule type="expression" dxfId="145" priority="98">
      <formula>AND($C48="No Co-add",$F48=" ")</formula>
    </cfRule>
    <cfRule type="expression" dxfId="144" priority="99">
      <formula>AND($C48="No Co-add",$F48="Co-add")</formula>
    </cfRule>
    <cfRule type="expression" dxfId="143" priority="100">
      <formula>AND($C48&gt;4000,$F48=" ")</formula>
    </cfRule>
  </conditionalFormatting>
  <printOptions gridLines="1" gridLinesSet="0"/>
  <pageMargins left="0.75" right="0.75" top="1" bottom="1" header="0.51181102300000003" footer="0.51181102300000003"/>
  <pageSetup orientation="portrait" r:id="rId1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7"/>
  <sheetViews>
    <sheetView workbookViewId="0">
      <pane ySplit="3" topLeftCell="A4" activePane="bottomLeft" state="frozen"/>
      <selection pane="bottomLeft"/>
    </sheetView>
  </sheetViews>
  <sheetFormatPr defaultColWidth="8.875" defaultRowHeight="15" x14ac:dyDescent="0.2"/>
  <cols>
    <col min="1" max="1" width="6.375" style="14" bestFit="1" customWidth="1"/>
    <col min="2" max="2" width="45.125" style="14" bestFit="1" customWidth="1"/>
    <col min="3" max="11" width="16" style="14" customWidth="1"/>
    <col min="12" max="12" width="19.375" style="49" customWidth="1"/>
    <col min="13" max="13" width="20.375" style="49" customWidth="1"/>
    <col min="14" max="14" width="9.375" style="14" bestFit="1" customWidth="1"/>
    <col min="15" max="16" width="10.375" style="49" bestFit="1" customWidth="1"/>
    <col min="17" max="17" width="8.875" style="14"/>
    <col min="18" max="18" width="10.375" style="14" bestFit="1" customWidth="1"/>
    <col min="19" max="16384" width="8.875" style="14"/>
  </cols>
  <sheetData>
    <row r="1" spans="1:20" ht="15.75" thickBot="1" x14ac:dyDescent="0.25"/>
    <row r="2" spans="1:20" ht="21.6" customHeight="1" x14ac:dyDescent="0.2">
      <c r="B2" s="577" t="s">
        <v>17</v>
      </c>
      <c r="C2" s="575" t="s">
        <v>18</v>
      </c>
      <c r="D2" s="584"/>
      <c r="E2" s="583"/>
      <c r="F2" s="575" t="s">
        <v>20</v>
      </c>
      <c r="G2" s="584"/>
      <c r="H2" s="583"/>
      <c r="I2" s="575" t="s">
        <v>37</v>
      </c>
      <c r="J2" s="577" t="s">
        <v>38</v>
      </c>
      <c r="K2" s="586" t="s">
        <v>314</v>
      </c>
      <c r="L2" s="586" t="s">
        <v>317</v>
      </c>
      <c r="M2" s="586" t="s">
        <v>318</v>
      </c>
      <c r="N2" s="586" t="s">
        <v>319</v>
      </c>
    </row>
    <row r="3" spans="1:20" ht="21.6" customHeight="1" thickBot="1" x14ac:dyDescent="0.25">
      <c r="B3" s="579"/>
      <c r="C3" s="20" t="s">
        <v>26</v>
      </c>
      <c r="D3" s="18" t="s">
        <v>27</v>
      </c>
      <c r="E3" s="19" t="s">
        <v>28</v>
      </c>
      <c r="F3" s="20" t="s">
        <v>26</v>
      </c>
      <c r="G3" s="18" t="s">
        <v>27</v>
      </c>
      <c r="H3" s="19" t="s">
        <v>28</v>
      </c>
      <c r="I3" s="576"/>
      <c r="J3" s="578"/>
      <c r="K3" s="639"/>
      <c r="L3" s="639"/>
      <c r="M3" s="639"/>
      <c r="N3" s="639"/>
    </row>
    <row r="4" spans="1:20" x14ac:dyDescent="0.2">
      <c r="B4" s="357"/>
      <c r="C4" s="358"/>
      <c r="D4" s="30"/>
      <c r="E4" s="31"/>
      <c r="F4" s="358"/>
      <c r="G4" s="30"/>
      <c r="H4" s="31"/>
      <c r="I4" s="22"/>
      <c r="J4" s="33"/>
      <c r="K4" s="33"/>
      <c r="L4" s="437"/>
      <c r="M4" s="437"/>
      <c r="N4" s="435"/>
    </row>
    <row r="5" spans="1:20" x14ac:dyDescent="0.2">
      <c r="B5" s="362" t="s">
        <v>361</v>
      </c>
      <c r="C5" s="36">
        <v>2016</v>
      </c>
      <c r="D5" s="36">
        <v>328</v>
      </c>
      <c r="E5" s="37">
        <v>0.23819444444444446</v>
      </c>
      <c r="F5" s="359"/>
      <c r="G5" s="360"/>
      <c r="H5" s="361"/>
      <c r="I5" s="362" t="s">
        <v>296</v>
      </c>
      <c r="J5" s="361"/>
      <c r="K5" s="361"/>
      <c r="L5" s="438"/>
      <c r="M5" s="438"/>
      <c r="N5" s="436"/>
      <c r="Q5" s="49"/>
      <c r="R5" s="49"/>
      <c r="S5" s="49"/>
      <c r="T5" s="49"/>
    </row>
    <row r="6" spans="1:20" x14ac:dyDescent="0.2">
      <c r="B6" s="45" t="s">
        <v>364</v>
      </c>
      <c r="C6" s="36">
        <v>2016</v>
      </c>
      <c r="D6" s="36">
        <v>328</v>
      </c>
      <c r="E6" s="37">
        <f>E5+E465</f>
        <v>0.24097222222222223</v>
      </c>
      <c r="F6" s="36">
        <v>2016</v>
      </c>
      <c r="G6" s="40">
        <v>328</v>
      </c>
      <c r="H6" s="37">
        <f>E6+E467</f>
        <v>0.24236111111111111</v>
      </c>
      <c r="I6" s="43">
        <v>60</v>
      </c>
      <c r="J6" s="43">
        <v>1</v>
      </c>
      <c r="K6" s="43"/>
      <c r="L6" s="438">
        <f>IF($I6&lt;192,0,IF($I6&gt;597,0, IF(VLOOKUP($I6,'CIRS Table Info'!$B$6:$J$425,3,FALSE)="Co-Add", 0.5,1) * (400 + IF(VLOOKUP($I6,'CIRS Table Info'!$B$6:$J$425,5,FALSE)="Data",1800,0) + IF(VLOOKUP($I6,'CIRS Table Info'!$B$6:$J$425,7,FALSE)="Data",1800,0) )))</f>
        <v>0</v>
      </c>
      <c r="M6" s="438">
        <f>VLOOKUP($B6,'CIRS Table IDs'!$B$6:$M$1001,12,FALSE)</f>
        <v>0</v>
      </c>
      <c r="N6" s="436" t="str">
        <f t="shared" ref="N6:N77" si="0">IF(L6=M6,"",IF(RIGHT(B6,3)="_SP","",IF(I6&lt;700,"Error","Warning")))</f>
        <v/>
      </c>
      <c r="Q6" s="49"/>
      <c r="R6" s="49"/>
      <c r="S6" s="49"/>
      <c r="T6" s="49"/>
    </row>
    <row r="7" spans="1:20" x14ac:dyDescent="0.2">
      <c r="A7" s="21"/>
      <c r="B7" s="45" t="s">
        <v>40</v>
      </c>
      <c r="C7" s="36">
        <v>2016</v>
      </c>
      <c r="D7" s="40">
        <f>G6</f>
        <v>328</v>
      </c>
      <c r="E7" s="37">
        <f>H6</f>
        <v>0.24236111111111111</v>
      </c>
      <c r="F7" s="40">
        <v>2016</v>
      </c>
      <c r="G7" s="40">
        <v>328</v>
      </c>
      <c r="H7" s="37">
        <v>0.33263888888888898</v>
      </c>
      <c r="I7" s="43">
        <v>602</v>
      </c>
      <c r="J7" s="43">
        <f>IF(I7=50,10,1)</f>
        <v>1</v>
      </c>
      <c r="K7" s="43"/>
      <c r="L7" s="438">
        <f>IF($I7&lt;192,0,IF($I7&gt;597,0, IF(VLOOKUP($I7,'CIRS Table Info'!$B$6:$J$425,3,FALSE)="Co-Add", 0.5,1) * (400 + IF(VLOOKUP($I7,'CIRS Table Info'!$B$6:$J$425,5,FALSE)="Data",1800,0) + IF(VLOOKUP($I7,'CIRS Table Info'!$B$6:$J$425,7,FALSE)="Data",1800,0) )))</f>
        <v>0</v>
      </c>
      <c r="M7" s="438">
        <f>VLOOKUP($B7,'CIRS Table IDs'!$B$6:$M$1001,12,FALSE)</f>
        <v>0</v>
      </c>
      <c r="N7" s="436" t="str">
        <f t="shared" si="0"/>
        <v/>
      </c>
      <c r="Q7" s="49"/>
      <c r="R7" s="49"/>
      <c r="S7" s="49"/>
      <c r="T7" s="49"/>
    </row>
    <row r="8" spans="1:20" x14ac:dyDescent="0.2">
      <c r="A8" s="21">
        <v>1</v>
      </c>
      <c r="B8" s="45" t="s">
        <v>365</v>
      </c>
      <c r="C8" s="36">
        <v>2016</v>
      </c>
      <c r="D8" s="36">
        <v>328</v>
      </c>
      <c r="E8" s="37">
        <v>0.33263888888888898</v>
      </c>
      <c r="F8" s="36">
        <f>IF($G8&gt;=$D8,$C8,$C8+1)</f>
        <v>2016</v>
      </c>
      <c r="G8" s="36">
        <f>IF(MOD($C$5,4)&lt;&gt;0,IF($D8+IF($H8&gt;=$E8,0,IF($H8+$E469&gt;=$E8,1,2))&gt;365,1,$D8+IF($H8&gt;=$E8,0,IF($H8+$E469&gt;=$E8,1,2))),IF($D8+IF($H8&gt;=$E8,0,IF($H8+$E469&gt;=$E8,1,2))&gt;366,1,$D8+IF($H8&gt;=$E8,0,IF($H8+$E469&gt;=$E8,1,2))))</f>
        <v>328</v>
      </c>
      <c r="H8" s="37">
        <f>IF(E8 + TIMEVALUE("00:05:00")&gt;=1,E8 + TIMEVALUE("00:05:00")-1,E8 + TIMEVALUE("00:05:00"))</f>
        <v>0.33611111111111119</v>
      </c>
      <c r="I8" s="496">
        <v>235</v>
      </c>
      <c r="J8" s="43">
        <v>1</v>
      </c>
      <c r="K8" s="43"/>
      <c r="L8" s="438">
        <f>IF($I8&lt;192,0,IF($I8&gt;597,0, IF(VLOOKUP($I8,'CIRS Table Info'!$B$6:$J$425,3,FALSE)="Co-Add", 0.5,1) * (400 + IF(VLOOKUP($I8,'CIRS Table Info'!$B$6:$J$425,5,FALSE)="Data",1800,0) + IF(VLOOKUP($I8,'CIRS Table Info'!$B$6:$J$425,7,FALSE)="Data",1800,0) )))</f>
        <v>4000</v>
      </c>
      <c r="M8" s="438">
        <f>VLOOKUP($B8,'CIRS Table IDs'!$B$6:$M$1001,12,FALSE)</f>
        <v>4000</v>
      </c>
      <c r="N8" s="436" t="str">
        <f t="shared" si="0"/>
        <v/>
      </c>
      <c r="Q8" s="49"/>
      <c r="R8" s="49"/>
      <c r="S8" s="49"/>
      <c r="T8" s="49"/>
    </row>
    <row r="9" spans="1:20" x14ac:dyDescent="0.2">
      <c r="A9" s="21"/>
      <c r="B9" s="45" t="s">
        <v>365</v>
      </c>
      <c r="C9" s="36">
        <f>$F8</f>
        <v>2016</v>
      </c>
      <c r="D9" s="36">
        <f>$G8</f>
        <v>328</v>
      </c>
      <c r="E9" s="37">
        <f>IF(E8 + TIMEVALUE("00:05:00")&gt;=1,E8 + TIMEVALUE("00:05:00")-1,E8 + TIMEVALUE("00:05:00"))</f>
        <v>0.33611111111111119</v>
      </c>
      <c r="F9" s="36">
        <f>IF($G9&gt;=$D9,$C9,$C9+1)</f>
        <v>2016</v>
      </c>
      <c r="G9" s="36">
        <f>IF(0.249305555555556 - TIMEVALUE("00:05:00")&gt;=0, 329, 328)</f>
        <v>329</v>
      </c>
      <c r="H9" s="37">
        <f>IF(0.249305555555556 - TIMEVALUE("00:05:00")&gt;=0, 0.249305555555556 - TIMEVALUE("00:05:00"), 0.249305555555556 - TIMEVALUE("00:05:00") +$E469)</f>
        <v>0.24583333333333379</v>
      </c>
      <c r="I9" s="496">
        <v>232</v>
      </c>
      <c r="J9" s="43">
        <v>1</v>
      </c>
      <c r="K9" s="43"/>
      <c r="L9" s="438">
        <f>IF($I9&lt;192,0,IF($I9&gt;597,0, IF(VLOOKUP($I9,'CIRS Table Info'!$B$6:$J$425,3,FALSE)="Co-Add", 0.5,1) * (400 + IF(VLOOKUP($I9,'CIRS Table Info'!$B$6:$J$425,5,FALSE)="Data",1800,0) + IF(VLOOKUP($I9,'CIRS Table Info'!$B$6:$J$425,7,FALSE)="Data",1800,0) )))</f>
        <v>4000</v>
      </c>
      <c r="M9" s="438">
        <f>VLOOKUP($B9,'CIRS Table IDs'!$B$6:$M$1001,12,FALSE)</f>
        <v>4000</v>
      </c>
      <c r="N9" s="436" t="str">
        <f t="shared" si="0"/>
        <v/>
      </c>
      <c r="Q9" s="49"/>
      <c r="R9" s="49"/>
      <c r="S9" s="49"/>
      <c r="T9" s="49"/>
    </row>
    <row r="10" spans="1:20" x14ac:dyDescent="0.2">
      <c r="A10" s="21"/>
      <c r="B10" s="45" t="s">
        <v>365</v>
      </c>
      <c r="C10" s="36">
        <f>$F9</f>
        <v>2016</v>
      </c>
      <c r="D10" s="36">
        <f>$G9</f>
        <v>329</v>
      </c>
      <c r="E10" s="37">
        <f>IF(0.249305555555556 - TIMEVALUE("00:05:00")&gt;=0, 0.249305555555556 - TIMEVALUE("00:05:00"), 0.249305555555556 - TIMEVALUE("00:05:00") +$E469)</f>
        <v>0.24583333333333379</v>
      </c>
      <c r="F10" s="36">
        <f>IF($G10&gt;=$D10,$C10,$C10+1)</f>
        <v>2016</v>
      </c>
      <c r="G10" s="36">
        <v>329</v>
      </c>
      <c r="H10" s="37">
        <v>0.249305555555556</v>
      </c>
      <c r="I10" s="496">
        <v>235</v>
      </c>
      <c r="J10" s="43">
        <v>1</v>
      </c>
      <c r="K10" s="43"/>
      <c r="L10" s="438">
        <f>IF($I10&lt;192,0,IF($I10&gt;597,0, IF(VLOOKUP($I10,'CIRS Table Info'!$B$6:$J$425,3,FALSE)="Co-Add", 0.5,1) * (400 + IF(VLOOKUP($I10,'CIRS Table Info'!$B$6:$J$425,5,FALSE)="Data",1800,0) + IF(VLOOKUP($I10,'CIRS Table Info'!$B$6:$J$425,7,FALSE)="Data",1800,0) )))</f>
        <v>4000</v>
      </c>
      <c r="M10" s="438">
        <f>VLOOKUP($B10,'CIRS Table IDs'!$B$6:$M$1001,12,FALSE)</f>
        <v>4000</v>
      </c>
      <c r="N10" s="436" t="str">
        <f t="shared" si="0"/>
        <v/>
      </c>
      <c r="Q10" s="49"/>
      <c r="R10" s="49"/>
      <c r="S10" s="49"/>
      <c r="T10" s="49"/>
    </row>
    <row r="11" spans="1:20" x14ac:dyDescent="0.2">
      <c r="A11" s="21"/>
      <c r="B11" s="45" t="s">
        <v>41</v>
      </c>
      <c r="C11" s="36">
        <v>2016</v>
      </c>
      <c r="D11" s="36">
        <f>IF(H10&gt;=$E463,G10,G10-1)</f>
        <v>329</v>
      </c>
      <c r="E11" s="37">
        <f>IF(H10-$E463&gt;0,H10-$E463,H10-$E463+$E469)</f>
        <v>0.24861111111111156</v>
      </c>
      <c r="F11" s="40">
        <v>2016</v>
      </c>
      <c r="G11" s="40">
        <v>329</v>
      </c>
      <c r="H11" s="37">
        <v>0.42361111111111099</v>
      </c>
      <c r="I11" s="43">
        <v>602</v>
      </c>
      <c r="J11" s="43">
        <f>IF(I11=50,10,1)</f>
        <v>1</v>
      </c>
      <c r="K11" s="43"/>
      <c r="L11" s="438">
        <f>IF($I11&lt;192,0,IF($I11&gt;597,0, IF(VLOOKUP($I11,'CIRS Table Info'!$B$6:$J$425,3,FALSE)="Co-Add", 0.5,1) * (400 + IF(VLOOKUP($I11,'CIRS Table Info'!$B$6:$J$425,5,FALSE)="Data",1800,0) + IF(VLOOKUP($I11,'CIRS Table Info'!$B$6:$J$425,7,FALSE)="Data",1800,0) )))</f>
        <v>0</v>
      </c>
      <c r="M11" s="438">
        <f>VLOOKUP($B11,'CIRS Table IDs'!$B$6:$M$1001,12,FALSE)</f>
        <v>0</v>
      </c>
      <c r="N11" s="436" t="str">
        <f t="shared" si="0"/>
        <v/>
      </c>
      <c r="Q11" s="49"/>
      <c r="R11" s="49"/>
      <c r="S11" s="49"/>
      <c r="T11" s="49"/>
    </row>
    <row r="12" spans="1:20" x14ac:dyDescent="0.2">
      <c r="A12" s="21">
        <v>2</v>
      </c>
      <c r="B12" s="45" t="s">
        <v>369</v>
      </c>
      <c r="C12" s="36">
        <v>2016</v>
      </c>
      <c r="D12" s="36">
        <v>329</v>
      </c>
      <c r="E12" s="37">
        <v>0.42361111111111099</v>
      </c>
      <c r="F12" s="36">
        <v>2016</v>
      </c>
      <c r="G12" s="36">
        <v>329</v>
      </c>
      <c r="H12" s="37">
        <v>0.77291666666666703</v>
      </c>
      <c r="I12" s="43">
        <v>572</v>
      </c>
      <c r="J12" s="43">
        <v>2</v>
      </c>
      <c r="K12" s="43"/>
      <c r="L12" s="438">
        <f>IF($I12&lt;192,0,IF($I12&gt;597,0, IF(VLOOKUP($I12,'CIRS Table Info'!$B$6:$J$425,3,FALSE)="Co-Add", 0.5,1) * (400 + IF(VLOOKUP($I12,'CIRS Table Info'!$B$6:$J$425,5,FALSE)="Data",1800,0) + IF(VLOOKUP($I12,'CIRS Table Info'!$B$6:$J$425,7,FALSE)="Data",1800,0) )))</f>
        <v>2000</v>
      </c>
      <c r="M12" s="438">
        <f>VLOOKUP($B12,'CIRS Table IDs'!$B$6:$M$1001,12,FALSE)</f>
        <v>2000</v>
      </c>
      <c r="N12" s="436" t="str">
        <f t="shared" si="0"/>
        <v/>
      </c>
      <c r="Q12" s="49"/>
      <c r="R12" s="49"/>
      <c r="S12" s="49"/>
      <c r="T12" s="49"/>
    </row>
    <row r="13" spans="1:20" x14ac:dyDescent="0.2">
      <c r="A13" s="21"/>
      <c r="B13" s="45" t="s">
        <v>42</v>
      </c>
      <c r="C13" s="40">
        <v>2016</v>
      </c>
      <c r="D13" s="40">
        <f>IF(H12&gt;=$E463,G12,G12-1)</f>
        <v>329</v>
      </c>
      <c r="E13" s="37">
        <f>IF(H12-$E463&gt;0,H12-$E463,H12-$E463+$E469)</f>
        <v>0.77222222222222259</v>
      </c>
      <c r="F13" s="40">
        <v>2016</v>
      </c>
      <c r="G13" s="40">
        <v>329</v>
      </c>
      <c r="H13" s="37">
        <v>0.90486111111111101</v>
      </c>
      <c r="I13" s="43">
        <v>50</v>
      </c>
      <c r="J13" s="43">
        <f>IF(I13=50,10,1)</f>
        <v>10</v>
      </c>
      <c r="K13" s="43"/>
      <c r="L13" s="438">
        <f>IF($I13&lt;192,0,IF($I13&gt;597,0, IF(VLOOKUP($I13,'CIRS Table Info'!$B$6:$J$425,3,FALSE)="Co-Add", 0.5,1) * (400 + IF(VLOOKUP($I13,'CIRS Table Info'!$B$6:$J$425,5,FALSE)="Data",1800,0) + IF(VLOOKUP($I13,'CIRS Table Info'!$B$6:$J$425,7,FALSE)="Data",1800,0) )))</f>
        <v>0</v>
      </c>
      <c r="M13" s="438">
        <f>VLOOKUP($B13,'CIRS Table IDs'!$B$6:$M$1001,12,FALSE)</f>
        <v>0</v>
      </c>
      <c r="N13" s="436" t="str">
        <f t="shared" si="0"/>
        <v/>
      </c>
      <c r="Q13" s="49"/>
      <c r="R13" s="49"/>
      <c r="S13" s="49"/>
      <c r="T13" s="49"/>
    </row>
    <row r="14" spans="1:20" x14ac:dyDescent="0.2">
      <c r="A14" s="21">
        <v>3</v>
      </c>
      <c r="B14" s="45" t="s">
        <v>371</v>
      </c>
      <c r="C14" s="36">
        <v>2016</v>
      </c>
      <c r="D14" s="36">
        <v>329</v>
      </c>
      <c r="E14" s="37">
        <v>0.90486111111111101</v>
      </c>
      <c r="F14" s="36">
        <v>2016</v>
      </c>
      <c r="G14" s="36">
        <v>330</v>
      </c>
      <c r="H14" s="37">
        <v>0.23819444444444399</v>
      </c>
      <c r="I14" s="43">
        <v>752</v>
      </c>
      <c r="J14" s="43">
        <f>IF(I14=50,10,1)</f>
        <v>1</v>
      </c>
      <c r="K14" s="43"/>
      <c r="L14" s="438">
        <f>IF($I14&lt;192,0,IF($I14&gt;597,0, IF(VLOOKUP($I14,'CIRS Table Info'!$B$6:$J$425,3,FALSE)="Co-Add", 0.5,1) * (400 + IF(VLOOKUP($I14,'CIRS Table Info'!$B$6:$J$425,5,FALSE)="Data",1800,0) + IF(VLOOKUP($I14,'CIRS Table Info'!$B$6:$J$425,7,FALSE)="Data",1800,0) )))</f>
        <v>0</v>
      </c>
      <c r="M14" s="438">
        <f>VLOOKUP($B14,'CIRS Table IDs'!$B$6:$M$1001,12,FALSE)</f>
        <v>3000</v>
      </c>
      <c r="N14" s="436" t="str">
        <f t="shared" si="0"/>
        <v/>
      </c>
      <c r="Q14" s="49"/>
      <c r="R14" s="49"/>
      <c r="S14" s="49"/>
      <c r="T14" s="49"/>
    </row>
    <row r="15" spans="1:20" x14ac:dyDescent="0.2">
      <c r="A15" s="21"/>
      <c r="B15" s="45" t="s">
        <v>43</v>
      </c>
      <c r="C15" s="40">
        <v>2016</v>
      </c>
      <c r="D15" s="40">
        <f>IF(H14&gt;=$E463,G14,G14-1)</f>
        <v>330</v>
      </c>
      <c r="E15" s="37">
        <f>IF(H14-$E463&gt;0,H14-$E463,H14-$E463+$E469)</f>
        <v>0.23749999999999954</v>
      </c>
      <c r="F15" s="40">
        <v>2016</v>
      </c>
      <c r="G15" s="40">
        <v>330</v>
      </c>
      <c r="H15" s="37">
        <v>0.64097222222222205</v>
      </c>
      <c r="I15" s="43">
        <v>602</v>
      </c>
      <c r="J15" s="43">
        <f>IF(I15=50,10,1)</f>
        <v>1</v>
      </c>
      <c r="K15" s="43"/>
      <c r="L15" s="438">
        <f>IF($I15&lt;192,0,IF($I15&gt;597,0, IF(VLOOKUP($I15,'CIRS Table Info'!$B$6:$J$425,3,FALSE)="Co-Add", 0.5,1) * (400 + IF(VLOOKUP($I15,'CIRS Table Info'!$B$6:$J$425,5,FALSE)="Data",1800,0) + IF(VLOOKUP($I15,'CIRS Table Info'!$B$6:$J$425,7,FALSE)="Data",1800,0) )))</f>
        <v>0</v>
      </c>
      <c r="M15" s="438">
        <f>VLOOKUP($B15,'CIRS Table IDs'!$B$6:$M$1001,12,FALSE)</f>
        <v>0</v>
      </c>
      <c r="N15" s="436" t="str">
        <f t="shared" si="0"/>
        <v/>
      </c>
      <c r="Q15" s="49"/>
      <c r="R15" s="49"/>
      <c r="S15" s="49"/>
      <c r="T15" s="49"/>
    </row>
    <row r="16" spans="1:20" x14ac:dyDescent="0.2">
      <c r="A16" s="21">
        <v>4</v>
      </c>
      <c r="B16" s="45" t="s">
        <v>372</v>
      </c>
      <c r="C16" s="36">
        <v>2016</v>
      </c>
      <c r="D16" s="36">
        <v>330</v>
      </c>
      <c r="E16" s="37">
        <v>0.64097222222222205</v>
      </c>
      <c r="F16" s="36">
        <v>2016</v>
      </c>
      <c r="G16" s="36">
        <v>330</v>
      </c>
      <c r="H16" s="37">
        <v>0.77291666666666703</v>
      </c>
      <c r="I16" s="43">
        <v>472</v>
      </c>
      <c r="J16" s="43">
        <v>1</v>
      </c>
      <c r="K16" s="43"/>
      <c r="L16" s="438">
        <f>IF($I16&lt;192,0,IF($I16&gt;597,0, IF(VLOOKUP($I16,'CIRS Table Info'!$B$6:$J$425,3,FALSE)="Co-Add", 0.5,1) * (400 + IF(VLOOKUP($I16,'CIRS Table Info'!$B$6:$J$425,5,FALSE)="Data",1800,0) + IF(VLOOKUP($I16,'CIRS Table Info'!$B$6:$J$425,7,FALSE)="Data",1800,0) )))</f>
        <v>2000</v>
      </c>
      <c r="M16" s="438">
        <f>VLOOKUP($B16,'CIRS Table IDs'!$B$6:$M$1001,12,FALSE)</f>
        <v>2000</v>
      </c>
      <c r="N16" s="436" t="str">
        <f t="shared" si="0"/>
        <v/>
      </c>
      <c r="Q16" s="49"/>
      <c r="R16" s="49"/>
      <c r="S16" s="49"/>
      <c r="T16" s="49"/>
    </row>
    <row r="17" spans="1:20" x14ac:dyDescent="0.2">
      <c r="A17" s="21"/>
      <c r="B17" s="45" t="s">
        <v>44</v>
      </c>
      <c r="C17" s="40">
        <v>2016</v>
      </c>
      <c r="D17" s="40">
        <f>IF(H16&gt;=$E463,G16,G16-1)</f>
        <v>330</v>
      </c>
      <c r="E17" s="37">
        <f>IF(H16-$E463&gt;0,H16-$E463,H16-$E463+$E469)</f>
        <v>0.77222222222222259</v>
      </c>
      <c r="F17" s="40">
        <v>2016</v>
      </c>
      <c r="G17" s="40">
        <v>330</v>
      </c>
      <c r="H17" s="37">
        <v>0.90486111111111101</v>
      </c>
      <c r="I17" s="43">
        <v>50</v>
      </c>
      <c r="J17" s="43">
        <f t="shared" ref="J17:J29" si="1">IF(I17=50,10,1)</f>
        <v>10</v>
      </c>
      <c r="K17" s="43"/>
      <c r="L17" s="438">
        <f>IF($I17&lt;192,0,IF($I17&gt;597,0, IF(VLOOKUP($I17,'CIRS Table Info'!$B$6:$J$425,3,FALSE)="Co-Add", 0.5,1) * (400 + IF(VLOOKUP($I17,'CIRS Table Info'!$B$6:$J$425,5,FALSE)="Data",1800,0) + IF(VLOOKUP($I17,'CIRS Table Info'!$B$6:$J$425,7,FALSE)="Data",1800,0) )))</f>
        <v>0</v>
      </c>
      <c r="M17" s="438">
        <f>VLOOKUP($B17,'CIRS Table IDs'!$B$6:$M$1001,12,FALSE)</f>
        <v>0</v>
      </c>
      <c r="N17" s="436" t="str">
        <f t="shared" si="0"/>
        <v/>
      </c>
      <c r="Q17" s="49"/>
      <c r="R17" s="49"/>
      <c r="S17" s="49"/>
      <c r="T17" s="49"/>
    </row>
    <row r="18" spans="1:20" x14ac:dyDescent="0.2">
      <c r="A18" s="21">
        <v>5</v>
      </c>
      <c r="B18" s="45" t="s">
        <v>373</v>
      </c>
      <c r="C18" s="36">
        <v>2016</v>
      </c>
      <c r="D18" s="36">
        <v>330</v>
      </c>
      <c r="E18" s="37">
        <v>0.90486111111111101</v>
      </c>
      <c r="F18" s="36">
        <v>2016</v>
      </c>
      <c r="G18" s="36">
        <v>331</v>
      </c>
      <c r="H18" s="37">
        <v>0.23819444444444399</v>
      </c>
      <c r="I18" s="43">
        <v>754</v>
      </c>
      <c r="J18" s="43">
        <f t="shared" si="1"/>
        <v>1</v>
      </c>
      <c r="K18" s="43"/>
      <c r="L18" s="438">
        <f>IF($I18&lt;192,0,IF($I18&gt;597,0, IF(VLOOKUP($I18,'CIRS Table Info'!$B$6:$J$425,3,FALSE)="Co-Add", 0.5,1) * (400 + IF(VLOOKUP($I18,'CIRS Table Info'!$B$6:$J$425,5,FALSE)="Data",1800,0) + IF(VLOOKUP($I18,'CIRS Table Info'!$B$6:$J$425,7,FALSE)="Data",1800,0) )))</f>
        <v>0</v>
      </c>
      <c r="M18" s="438">
        <f>VLOOKUP($B18,'CIRS Table IDs'!$B$6:$M$1001,12,FALSE)</f>
        <v>3000</v>
      </c>
      <c r="N18" s="436" t="str">
        <f t="shared" si="0"/>
        <v/>
      </c>
      <c r="Q18" s="49"/>
      <c r="R18" s="49"/>
      <c r="S18" s="49"/>
      <c r="T18" s="49"/>
    </row>
    <row r="19" spans="1:20" x14ac:dyDescent="0.2">
      <c r="A19" s="21"/>
      <c r="B19" s="45" t="s">
        <v>45</v>
      </c>
      <c r="C19" s="40">
        <v>2016</v>
      </c>
      <c r="D19" s="40">
        <f>IF(H18&gt;=$E463,G18,G18-1)</f>
        <v>331</v>
      </c>
      <c r="E19" s="37">
        <f>IF(H18-$E463&gt;0,H18-$E463,H18-$E463+$E469)</f>
        <v>0.23749999999999954</v>
      </c>
      <c r="F19" s="40">
        <v>2016</v>
      </c>
      <c r="G19" s="40">
        <v>331</v>
      </c>
      <c r="H19" s="37">
        <v>0.36319444444444399</v>
      </c>
      <c r="I19" s="43">
        <v>600</v>
      </c>
      <c r="J19" s="43">
        <f t="shared" si="1"/>
        <v>1</v>
      </c>
      <c r="K19" s="43"/>
      <c r="L19" s="438">
        <f>IF($I19&lt;192,0,IF($I19&gt;597,0, IF(VLOOKUP($I19,'CIRS Table Info'!$B$6:$J$425,3,FALSE)="Co-Add", 0.5,1) * (400 + IF(VLOOKUP($I19,'CIRS Table Info'!$B$6:$J$425,5,FALSE)="Data",1800,0) + IF(VLOOKUP($I19,'CIRS Table Info'!$B$6:$J$425,7,FALSE)="Data",1800,0) )))</f>
        <v>0</v>
      </c>
      <c r="M19" s="438">
        <f>VLOOKUP($B19,'CIRS Table IDs'!$B$6:$M$1001,12,FALSE)</f>
        <v>0</v>
      </c>
      <c r="N19" s="436" t="str">
        <f t="shared" si="0"/>
        <v/>
      </c>
      <c r="Q19" s="49"/>
      <c r="R19" s="49"/>
      <c r="S19" s="49"/>
      <c r="T19" s="49"/>
    </row>
    <row r="20" spans="1:20" x14ac:dyDescent="0.2">
      <c r="A20" s="21">
        <v>6</v>
      </c>
      <c r="B20" s="45" t="s">
        <v>374</v>
      </c>
      <c r="C20" s="36">
        <v>2016</v>
      </c>
      <c r="D20" s="36">
        <v>331</v>
      </c>
      <c r="E20" s="37">
        <v>0.36319444444444399</v>
      </c>
      <c r="F20" s="36">
        <v>2016</v>
      </c>
      <c r="G20" s="36">
        <v>331</v>
      </c>
      <c r="H20" s="37">
        <f>E21</f>
        <v>0.36469907407407409</v>
      </c>
      <c r="I20" s="43">
        <v>209</v>
      </c>
      <c r="J20" s="43">
        <f t="shared" si="1"/>
        <v>1</v>
      </c>
      <c r="K20" s="43"/>
      <c r="L20" s="438">
        <f>IF($I20&lt;192,0,IF($I20&gt;597,0, IF(VLOOKUP($I20,'CIRS Table Info'!$B$6:$J$425,3,FALSE)="Co-Add", 0.5,1) * (400 + IF(VLOOKUP($I20,'CIRS Table Info'!$B$6:$J$425,5,FALSE)="Data",1800,0) + IF(VLOOKUP($I20,'CIRS Table Info'!$B$6:$J$425,7,FALSE)="Data",1800,0) )))</f>
        <v>4000</v>
      </c>
      <c r="M20" s="438">
        <f>VLOOKUP($B20,'CIRS Table IDs'!$B$6:$M$1001,12,FALSE)</f>
        <v>4000</v>
      </c>
      <c r="N20" s="436" t="str">
        <f t="shared" si="0"/>
        <v/>
      </c>
      <c r="Q20" s="49"/>
      <c r="R20" s="49"/>
      <c r="S20" s="49"/>
      <c r="T20" s="49"/>
    </row>
    <row r="21" spans="1:20" x14ac:dyDescent="0.2">
      <c r="A21" s="21"/>
      <c r="B21" s="45" t="s">
        <v>374</v>
      </c>
      <c r="C21" s="36">
        <v>2016</v>
      </c>
      <c r="D21" s="36">
        <v>331</v>
      </c>
      <c r="E21" s="37">
        <v>0.36469907407407409</v>
      </c>
      <c r="F21" s="36">
        <v>2016</v>
      </c>
      <c r="G21" s="36">
        <v>331</v>
      </c>
      <c r="H21" s="37">
        <f t="shared" ref="H21:H27" si="2">E22</f>
        <v>0.48958333333333331</v>
      </c>
      <c r="I21" s="43">
        <v>206</v>
      </c>
      <c r="J21" s="43">
        <f t="shared" si="1"/>
        <v>1</v>
      </c>
      <c r="K21" s="43"/>
      <c r="L21" s="438"/>
      <c r="M21" s="438"/>
      <c r="N21" s="436"/>
      <c r="Q21" s="49"/>
      <c r="R21" s="49"/>
      <c r="S21" s="49"/>
      <c r="T21" s="49"/>
    </row>
    <row r="22" spans="1:20" x14ac:dyDescent="0.2">
      <c r="A22" s="21"/>
      <c r="B22" s="45" t="s">
        <v>374</v>
      </c>
      <c r="C22" s="36">
        <v>2016</v>
      </c>
      <c r="D22" s="36">
        <v>331</v>
      </c>
      <c r="E22" s="37">
        <v>0.48958333333333331</v>
      </c>
      <c r="F22" s="36">
        <v>2016</v>
      </c>
      <c r="G22" s="36">
        <v>331</v>
      </c>
      <c r="H22" s="37">
        <f t="shared" si="2"/>
        <v>0.49108796296296298</v>
      </c>
      <c r="I22" s="43">
        <v>209</v>
      </c>
      <c r="J22" s="43">
        <f t="shared" si="1"/>
        <v>1</v>
      </c>
      <c r="K22" s="43"/>
      <c r="L22" s="438"/>
      <c r="M22" s="438"/>
      <c r="N22" s="436"/>
      <c r="Q22" s="49"/>
      <c r="R22" s="49"/>
      <c r="S22" s="49"/>
      <c r="T22" s="49"/>
    </row>
    <row r="23" spans="1:20" x14ac:dyDescent="0.2">
      <c r="A23" s="21"/>
      <c r="B23" s="45" t="s">
        <v>374</v>
      </c>
      <c r="C23" s="36">
        <v>2016</v>
      </c>
      <c r="D23" s="36">
        <v>331</v>
      </c>
      <c r="E23" s="37">
        <v>0.49108796296296298</v>
      </c>
      <c r="F23" s="36">
        <v>2016</v>
      </c>
      <c r="G23" s="36">
        <v>331</v>
      </c>
      <c r="H23" s="37">
        <f t="shared" si="2"/>
        <v>0.58958333333333335</v>
      </c>
      <c r="I23" s="43">
        <v>206</v>
      </c>
      <c r="J23" s="43">
        <f t="shared" si="1"/>
        <v>1</v>
      </c>
      <c r="K23" s="43"/>
      <c r="L23" s="438"/>
      <c r="M23" s="438"/>
      <c r="N23" s="436"/>
      <c r="Q23" s="49"/>
      <c r="R23" s="49"/>
      <c r="S23" s="49"/>
      <c r="T23" s="49"/>
    </row>
    <row r="24" spans="1:20" x14ac:dyDescent="0.2">
      <c r="A24" s="21"/>
      <c r="B24" s="45" t="s">
        <v>374</v>
      </c>
      <c r="C24" s="36">
        <v>2016</v>
      </c>
      <c r="D24" s="36">
        <v>331</v>
      </c>
      <c r="E24" s="37">
        <v>0.58958333333333335</v>
      </c>
      <c r="F24" s="36">
        <v>2016</v>
      </c>
      <c r="G24" s="36">
        <v>331</v>
      </c>
      <c r="H24" s="37">
        <f t="shared" si="2"/>
        <v>0.59108796296296295</v>
      </c>
      <c r="I24" s="43">
        <v>209</v>
      </c>
      <c r="J24" s="43">
        <f t="shared" si="1"/>
        <v>1</v>
      </c>
      <c r="K24" s="43"/>
      <c r="L24" s="438"/>
      <c r="M24" s="438"/>
      <c r="N24" s="436"/>
      <c r="Q24" s="49"/>
      <c r="R24" s="49"/>
      <c r="S24" s="49"/>
      <c r="T24" s="49"/>
    </row>
    <row r="25" spans="1:20" x14ac:dyDescent="0.2">
      <c r="A25" s="21"/>
      <c r="B25" s="45" t="s">
        <v>374</v>
      </c>
      <c r="C25" s="36">
        <v>2016</v>
      </c>
      <c r="D25" s="36">
        <v>331</v>
      </c>
      <c r="E25" s="37">
        <v>0.59108796296296295</v>
      </c>
      <c r="F25" s="36">
        <v>2016</v>
      </c>
      <c r="G25" s="36">
        <v>331</v>
      </c>
      <c r="H25" s="37">
        <f t="shared" si="2"/>
        <v>0.68888888888888899</v>
      </c>
      <c r="I25" s="43">
        <v>206</v>
      </c>
      <c r="J25" s="43">
        <f t="shared" si="1"/>
        <v>1</v>
      </c>
      <c r="K25" s="43"/>
      <c r="L25" s="438"/>
      <c r="M25" s="438"/>
      <c r="N25" s="436"/>
      <c r="Q25" s="49"/>
      <c r="R25" s="49"/>
      <c r="S25" s="49"/>
      <c r="T25" s="49"/>
    </row>
    <row r="26" spans="1:20" x14ac:dyDescent="0.2">
      <c r="A26" s="21"/>
      <c r="B26" s="45" t="s">
        <v>374</v>
      </c>
      <c r="C26" s="36">
        <v>2016</v>
      </c>
      <c r="D26" s="36">
        <v>331</v>
      </c>
      <c r="E26" s="37">
        <v>0.68888888888888899</v>
      </c>
      <c r="F26" s="36">
        <v>2016</v>
      </c>
      <c r="G26" s="36">
        <v>331</v>
      </c>
      <c r="H26" s="37">
        <f t="shared" si="2"/>
        <v>0.69039351851851849</v>
      </c>
      <c r="I26" s="43">
        <v>209</v>
      </c>
      <c r="J26" s="43">
        <f t="shared" si="1"/>
        <v>1</v>
      </c>
      <c r="K26" s="43"/>
      <c r="L26" s="438"/>
      <c r="M26" s="438"/>
      <c r="N26" s="436"/>
      <c r="Q26" s="49"/>
      <c r="R26" s="49"/>
      <c r="S26" s="49"/>
      <c r="T26" s="49"/>
    </row>
    <row r="27" spans="1:20" x14ac:dyDescent="0.2">
      <c r="A27" s="21"/>
      <c r="B27" s="45" t="s">
        <v>374</v>
      </c>
      <c r="C27" s="36">
        <v>2016</v>
      </c>
      <c r="D27" s="36">
        <v>331</v>
      </c>
      <c r="E27" s="37">
        <v>0.69039351851851849</v>
      </c>
      <c r="F27" s="36">
        <v>2016</v>
      </c>
      <c r="G27" s="36">
        <v>331</v>
      </c>
      <c r="H27" s="37">
        <f t="shared" si="2"/>
        <v>0.8305555555555556</v>
      </c>
      <c r="I27" s="43">
        <v>206</v>
      </c>
      <c r="J27" s="43">
        <f t="shared" si="1"/>
        <v>1</v>
      </c>
      <c r="K27" s="43"/>
      <c r="L27" s="438"/>
      <c r="M27" s="438"/>
      <c r="N27" s="436"/>
      <c r="Q27" s="49"/>
      <c r="R27" s="49"/>
      <c r="S27" s="49"/>
      <c r="T27" s="49"/>
    </row>
    <row r="28" spans="1:20" x14ac:dyDescent="0.2">
      <c r="A28" s="21"/>
      <c r="B28" s="45" t="s">
        <v>374</v>
      </c>
      <c r="C28" s="36">
        <v>2016</v>
      </c>
      <c r="D28" s="36">
        <v>331</v>
      </c>
      <c r="E28" s="37">
        <v>0.8305555555555556</v>
      </c>
      <c r="F28" s="36">
        <v>2016</v>
      </c>
      <c r="G28" s="36">
        <v>331</v>
      </c>
      <c r="H28" s="37">
        <v>0.83333333333333337</v>
      </c>
      <c r="I28" s="43">
        <v>209</v>
      </c>
      <c r="J28" s="43">
        <f t="shared" si="1"/>
        <v>1</v>
      </c>
      <c r="K28" s="43"/>
      <c r="L28" s="438"/>
      <c r="M28" s="438"/>
      <c r="N28" s="436"/>
      <c r="Q28" s="49"/>
      <c r="R28" s="49"/>
      <c r="S28" s="49"/>
      <c r="T28" s="49"/>
    </row>
    <row r="29" spans="1:20" x14ac:dyDescent="0.2">
      <c r="A29" s="21"/>
      <c r="B29" s="45" t="s">
        <v>46</v>
      </c>
      <c r="C29" s="40">
        <v>2016</v>
      </c>
      <c r="D29" s="40">
        <v>331</v>
      </c>
      <c r="E29" s="37">
        <v>0.8326388888888886</v>
      </c>
      <c r="F29" s="40">
        <v>2016</v>
      </c>
      <c r="G29" s="40">
        <v>331</v>
      </c>
      <c r="H29" s="37">
        <v>0.83333333333333304</v>
      </c>
      <c r="I29" s="43">
        <v>600</v>
      </c>
      <c r="J29" s="43">
        <f t="shared" si="1"/>
        <v>1</v>
      </c>
      <c r="K29" s="43"/>
      <c r="L29" s="438">
        <f>IF($I29&lt;192,0,IF($I29&gt;597,0, IF(VLOOKUP($I29,'CIRS Table Info'!$B$6:$J$425,3,FALSE)="Co-Add", 0.5,1) * (400 + IF(VLOOKUP($I29,'CIRS Table Info'!$B$6:$J$425,5,FALSE)="Data",1800,0) + IF(VLOOKUP($I29,'CIRS Table Info'!$B$6:$J$425,7,FALSE)="Data",1800,0) )))</f>
        <v>0</v>
      </c>
      <c r="M29" s="438">
        <f>VLOOKUP($B29,'CIRS Table IDs'!$B$6:$M$1001,12,FALSE)</f>
        <v>0</v>
      </c>
      <c r="N29" s="436" t="str">
        <f t="shared" si="0"/>
        <v/>
      </c>
      <c r="Q29" s="49"/>
      <c r="R29" s="49"/>
      <c r="S29" s="49"/>
      <c r="T29" s="49"/>
    </row>
    <row r="30" spans="1:20" x14ac:dyDescent="0.2">
      <c r="A30" s="21">
        <v>7</v>
      </c>
      <c r="B30" s="45" t="s">
        <v>378</v>
      </c>
      <c r="C30" s="36">
        <v>2016</v>
      </c>
      <c r="D30" s="36">
        <v>331</v>
      </c>
      <c r="E30" s="37">
        <v>0.83333333333333304</v>
      </c>
      <c r="F30" s="36">
        <v>2016</v>
      </c>
      <c r="G30" s="36">
        <v>331</v>
      </c>
      <c r="H30" s="37">
        <v>0.9375</v>
      </c>
      <c r="I30" s="43">
        <v>405</v>
      </c>
      <c r="J30" s="43">
        <v>2</v>
      </c>
      <c r="K30" s="43"/>
      <c r="L30" s="438">
        <f>IF($I30&lt;192,0,IF($I30&gt;597,0, IF(VLOOKUP($I30,'CIRS Table Info'!$B$6:$J$425,3,FALSE)="Co-Add", 0.5,1) * (400 + IF(VLOOKUP($I30,'CIRS Table Info'!$B$6:$J$425,5,FALSE)="Data",1800,0) + IF(VLOOKUP($I30,'CIRS Table Info'!$B$6:$J$425,7,FALSE)="Data",1800,0) )))</f>
        <v>4000</v>
      </c>
      <c r="M30" s="438">
        <f>VLOOKUP($B30,'CIRS Table IDs'!$B$6:$M$1001,12,FALSE)</f>
        <v>4000</v>
      </c>
      <c r="N30" s="436" t="str">
        <f t="shared" si="0"/>
        <v/>
      </c>
      <c r="Q30" s="49"/>
      <c r="R30" s="49"/>
      <c r="S30" s="49"/>
      <c r="T30" s="49"/>
    </row>
    <row r="31" spans="1:20" x14ac:dyDescent="0.2">
      <c r="A31" s="21"/>
      <c r="B31" s="45" t="s">
        <v>47</v>
      </c>
      <c r="C31" s="40">
        <v>2016</v>
      </c>
      <c r="D31" s="40">
        <f>IF(H30&gt;=$E463,G30,G30-1)</f>
        <v>331</v>
      </c>
      <c r="E31" s="37">
        <f>IF(H30-$E463&gt;0,H30-$E463,H30-$E463+$E469)</f>
        <v>0.93680555555555556</v>
      </c>
      <c r="F31" s="40">
        <v>2016</v>
      </c>
      <c r="G31" s="40">
        <v>331</v>
      </c>
      <c r="H31" s="37">
        <v>0.9375</v>
      </c>
      <c r="I31" s="43">
        <v>600</v>
      </c>
      <c r="J31" s="43">
        <f>IF(I31=50,10,1)</f>
        <v>1</v>
      </c>
      <c r="K31" s="43"/>
      <c r="L31" s="438">
        <f>IF($I31&lt;192,0,IF($I31&gt;597,0, IF(VLOOKUP($I31,'CIRS Table Info'!$B$6:$J$425,3,FALSE)="Co-Add", 0.5,1) * (400 + IF(VLOOKUP($I31,'CIRS Table Info'!$B$6:$J$425,5,FALSE)="Data",1800,0) + IF(VLOOKUP($I31,'CIRS Table Info'!$B$6:$J$425,7,FALSE)="Data",1800,0) )))</f>
        <v>0</v>
      </c>
      <c r="M31" s="438">
        <f>VLOOKUP($B31,'CIRS Table IDs'!$B$6:$M$1001,12,FALSE)</f>
        <v>0</v>
      </c>
      <c r="N31" s="436" t="str">
        <f t="shared" si="0"/>
        <v/>
      </c>
      <c r="Q31" s="49"/>
      <c r="R31" s="49"/>
      <c r="S31" s="49"/>
      <c r="T31" s="49"/>
    </row>
    <row r="32" spans="1:20" x14ac:dyDescent="0.2">
      <c r="A32" s="21">
        <v>8</v>
      </c>
      <c r="B32" s="45" t="s">
        <v>379</v>
      </c>
      <c r="C32" s="36">
        <v>2016</v>
      </c>
      <c r="D32" s="36">
        <v>331</v>
      </c>
      <c r="E32" s="37">
        <v>0.9375</v>
      </c>
      <c r="F32" s="36">
        <v>2016</v>
      </c>
      <c r="G32" s="36">
        <v>332</v>
      </c>
      <c r="H32" s="37">
        <v>4.1666666666666699E-2</v>
      </c>
      <c r="I32" s="43">
        <v>405</v>
      </c>
      <c r="J32" s="43">
        <v>2</v>
      </c>
      <c r="K32" s="43"/>
      <c r="L32" s="438">
        <f>IF($I32&lt;192,0,IF($I32&gt;597,0, IF(VLOOKUP($I32,'CIRS Table Info'!$B$6:$J$425,3,FALSE)="Co-Add", 0.5,1) * (400 + IF(VLOOKUP($I32,'CIRS Table Info'!$B$6:$J$425,5,FALSE)="Data",1800,0) + IF(VLOOKUP($I32,'CIRS Table Info'!$B$6:$J$425,7,FALSE)="Data",1800,0) )))</f>
        <v>4000</v>
      </c>
      <c r="M32" s="438">
        <f>VLOOKUP($B32,'CIRS Table IDs'!$B$6:$M$1001,12,FALSE)</f>
        <v>4000</v>
      </c>
      <c r="N32" s="436" t="str">
        <f t="shared" si="0"/>
        <v/>
      </c>
      <c r="Q32" s="49"/>
      <c r="R32" s="49"/>
      <c r="S32" s="49"/>
      <c r="T32" s="49"/>
    </row>
    <row r="33" spans="1:20" x14ac:dyDescent="0.2">
      <c r="A33" s="21"/>
      <c r="B33" s="45" t="s">
        <v>48</v>
      </c>
      <c r="C33" s="40">
        <v>2016</v>
      </c>
      <c r="D33" s="40">
        <f>IF(H32&gt;=$E463,G32,G32-1)</f>
        <v>332</v>
      </c>
      <c r="E33" s="37">
        <f>IF(H32-$E463&gt;0,H32-$E463,H32-$E463+$E469)</f>
        <v>4.0972222222222257E-2</v>
      </c>
      <c r="F33" s="40">
        <v>2016</v>
      </c>
      <c r="G33" s="40">
        <v>332</v>
      </c>
      <c r="H33" s="37">
        <v>4.1666666666666699E-2</v>
      </c>
      <c r="I33" s="43">
        <v>600</v>
      </c>
      <c r="J33" s="43">
        <f t="shared" ref="J33:J43" si="3">IF(I33=50,10,1)</f>
        <v>1</v>
      </c>
      <c r="K33" s="43"/>
      <c r="L33" s="438">
        <f>IF($I33&lt;192,0,IF($I33&gt;597,0, IF(VLOOKUP($I33,'CIRS Table Info'!$B$6:$J$425,3,FALSE)="Co-Add", 0.5,1) * (400 + IF(VLOOKUP($I33,'CIRS Table Info'!$B$6:$J$425,5,FALSE)="Data",1800,0) + IF(VLOOKUP($I33,'CIRS Table Info'!$B$6:$J$425,7,FALSE)="Data",1800,0) )))</f>
        <v>0</v>
      </c>
      <c r="M33" s="438">
        <f>VLOOKUP($B33,'CIRS Table IDs'!$B$6:$M$1001,12,FALSE)</f>
        <v>0</v>
      </c>
      <c r="N33" s="436" t="str">
        <f t="shared" si="0"/>
        <v/>
      </c>
      <c r="Q33" s="49"/>
      <c r="R33" s="49"/>
      <c r="S33" s="49"/>
      <c r="T33" s="49"/>
    </row>
    <row r="34" spans="1:20" x14ac:dyDescent="0.2">
      <c r="A34" s="21">
        <v>9</v>
      </c>
      <c r="B34" s="45" t="s">
        <v>380</v>
      </c>
      <c r="C34" s="36">
        <v>2016</v>
      </c>
      <c r="D34" s="36">
        <v>332</v>
      </c>
      <c r="E34" s="37">
        <v>4.1666666666666699E-2</v>
      </c>
      <c r="F34" s="36">
        <v>2016</v>
      </c>
      <c r="G34" s="36">
        <v>332</v>
      </c>
      <c r="H34" s="37">
        <v>0.125</v>
      </c>
      <c r="I34" s="43">
        <v>758</v>
      </c>
      <c r="J34" s="43">
        <f t="shared" si="3"/>
        <v>1</v>
      </c>
      <c r="K34" s="43"/>
      <c r="L34" s="438">
        <f>IF($I34&lt;192,0,IF($I34&gt;597,0, IF(VLOOKUP($I34,'CIRS Table Info'!$B$6:$J$425,3,FALSE)="Co-Add", 0.5,1) * (400 + IF(VLOOKUP($I34,'CIRS Table Info'!$B$6:$J$425,5,FALSE)="Data",1800,0) + IF(VLOOKUP($I34,'CIRS Table Info'!$B$6:$J$425,7,FALSE)="Data",1800,0) )))</f>
        <v>0</v>
      </c>
      <c r="M34" s="438">
        <f>VLOOKUP($B34,'CIRS Table IDs'!$B$6:$M$1001,12,FALSE)</f>
        <v>2200</v>
      </c>
      <c r="N34" s="436" t="str">
        <f t="shared" si="0"/>
        <v>Warning</v>
      </c>
      <c r="Q34" s="49"/>
      <c r="R34" s="49"/>
      <c r="S34" s="49"/>
      <c r="T34" s="49"/>
    </row>
    <row r="35" spans="1:20" x14ac:dyDescent="0.2">
      <c r="A35" s="21"/>
      <c r="B35" s="45" t="s">
        <v>49</v>
      </c>
      <c r="C35" s="40">
        <v>2016</v>
      </c>
      <c r="D35" s="40">
        <f>IF(H34&gt;=$E463,G34,G34-1)</f>
        <v>332</v>
      </c>
      <c r="E35" s="37">
        <f>IF(H34-$E463&gt;0,H34-$E463,H34-$E463+$E469)</f>
        <v>0.12430555555555556</v>
      </c>
      <c r="F35" s="40">
        <v>2016</v>
      </c>
      <c r="G35" s="40">
        <v>332</v>
      </c>
      <c r="H35" s="37">
        <v>0.22847222222222199</v>
      </c>
      <c r="I35" s="43">
        <v>600</v>
      </c>
      <c r="J35" s="43">
        <f t="shared" si="3"/>
        <v>1</v>
      </c>
      <c r="K35" s="43"/>
      <c r="L35" s="438">
        <f>IF($I35&lt;192,0,IF($I35&gt;597,0, IF(VLOOKUP($I35,'CIRS Table Info'!$B$6:$J$425,3,FALSE)="Co-Add", 0.5,1) * (400 + IF(VLOOKUP($I35,'CIRS Table Info'!$B$6:$J$425,5,FALSE)="Data",1800,0) + IF(VLOOKUP($I35,'CIRS Table Info'!$B$6:$J$425,7,FALSE)="Data",1800,0) )))</f>
        <v>0</v>
      </c>
      <c r="M35" s="438">
        <f>VLOOKUP($B35,'CIRS Table IDs'!$B$6:$M$1001,12,FALSE)</f>
        <v>0</v>
      </c>
      <c r="N35" s="436" t="str">
        <f t="shared" si="0"/>
        <v/>
      </c>
      <c r="Q35" s="49"/>
      <c r="R35" s="49"/>
      <c r="S35" s="49"/>
      <c r="T35" s="49"/>
    </row>
    <row r="36" spans="1:20" x14ac:dyDescent="0.2">
      <c r="A36" s="21">
        <v>10</v>
      </c>
      <c r="B36" s="45" t="s">
        <v>384</v>
      </c>
      <c r="C36" s="36">
        <v>2016</v>
      </c>
      <c r="D36" s="36">
        <v>332</v>
      </c>
      <c r="E36" s="37">
        <v>0.22847222222222199</v>
      </c>
      <c r="F36" s="36">
        <v>2016</v>
      </c>
      <c r="G36" s="36">
        <v>332</v>
      </c>
      <c r="H36" s="37">
        <v>0.30208333333333298</v>
      </c>
      <c r="I36" s="43">
        <v>759</v>
      </c>
      <c r="J36" s="43">
        <f t="shared" si="3"/>
        <v>1</v>
      </c>
      <c r="K36" s="43"/>
      <c r="L36" s="438">
        <f>IF($I36&lt;192,0,IF($I36&gt;597,0, IF(VLOOKUP($I36,'CIRS Table Info'!$B$6:$J$425,3,FALSE)="Co-Add", 0.5,1) * (400 + IF(VLOOKUP($I36,'CIRS Table Info'!$B$6:$J$425,5,FALSE)="Data",1800,0) + IF(VLOOKUP($I36,'CIRS Table Info'!$B$6:$J$425,7,FALSE)="Data",1800,0) )))</f>
        <v>0</v>
      </c>
      <c r="M36" s="438">
        <f>VLOOKUP($B36,'CIRS Table IDs'!$B$6:$M$1001,12,FALSE)</f>
        <v>4000</v>
      </c>
      <c r="N36" s="436" t="str">
        <f t="shared" si="0"/>
        <v>Warning</v>
      </c>
      <c r="Q36" s="49"/>
      <c r="R36" s="49"/>
      <c r="S36" s="49"/>
      <c r="T36" s="49"/>
    </row>
    <row r="37" spans="1:20" x14ac:dyDescent="0.2">
      <c r="A37" s="21"/>
      <c r="B37" s="45" t="s">
        <v>50</v>
      </c>
      <c r="C37" s="40">
        <v>2016</v>
      </c>
      <c r="D37" s="40">
        <f>IF(H36&gt;=$E463,G36,G36-1)</f>
        <v>332</v>
      </c>
      <c r="E37" s="37">
        <f>IF(H36-$E463&gt;0,H36-$E463,H36-$E463+$E469)</f>
        <v>0.30138888888888854</v>
      </c>
      <c r="F37" s="40">
        <v>2016</v>
      </c>
      <c r="G37" s="40">
        <v>332</v>
      </c>
      <c r="H37" s="37">
        <v>0.30208333333333298</v>
      </c>
      <c r="I37" s="43">
        <v>600</v>
      </c>
      <c r="J37" s="43">
        <f t="shared" si="3"/>
        <v>1</v>
      </c>
      <c r="K37" s="43"/>
      <c r="L37" s="438">
        <f>IF($I37&lt;192,0,IF($I37&gt;597,0, IF(VLOOKUP($I37,'CIRS Table Info'!$B$6:$J$425,3,FALSE)="Co-Add", 0.5,1) * (400 + IF(VLOOKUP($I37,'CIRS Table Info'!$B$6:$J$425,5,FALSE)="Data",1800,0) + IF(VLOOKUP($I37,'CIRS Table Info'!$B$6:$J$425,7,FALSE)="Data",1800,0) )))</f>
        <v>0</v>
      </c>
      <c r="M37" s="438">
        <f>VLOOKUP($B37,'CIRS Table IDs'!$B$6:$M$1001,12,FALSE)</f>
        <v>0</v>
      </c>
      <c r="N37" s="436" t="str">
        <f t="shared" si="0"/>
        <v/>
      </c>
      <c r="Q37" s="49"/>
      <c r="R37" s="49"/>
      <c r="S37" s="49"/>
      <c r="T37" s="49"/>
    </row>
    <row r="38" spans="1:20" x14ac:dyDescent="0.2">
      <c r="A38" s="21">
        <v>11</v>
      </c>
      <c r="B38" s="45" t="s">
        <v>386</v>
      </c>
      <c r="C38" s="36">
        <v>2016</v>
      </c>
      <c r="D38" s="36">
        <v>332</v>
      </c>
      <c r="E38" s="37">
        <v>0.30208333333333298</v>
      </c>
      <c r="F38" s="36">
        <v>2016</v>
      </c>
      <c r="G38" s="36">
        <v>332</v>
      </c>
      <c r="H38" s="37">
        <v>0.41319444444444398</v>
      </c>
      <c r="I38" s="43">
        <v>760</v>
      </c>
      <c r="J38" s="43">
        <f t="shared" si="3"/>
        <v>1</v>
      </c>
      <c r="K38" s="43"/>
      <c r="L38" s="438">
        <f>IF($I38&lt;192,0,IF($I38&gt;597,0, IF(VLOOKUP($I38,'CIRS Table Info'!$B$6:$J$425,3,FALSE)="Co-Add", 0.5,1) * (400 + IF(VLOOKUP($I38,'CIRS Table Info'!$B$6:$J$425,5,FALSE)="Data",1800,0) + IF(VLOOKUP($I38,'CIRS Table Info'!$B$6:$J$425,7,FALSE)="Data",1800,0) )))</f>
        <v>0</v>
      </c>
      <c r="M38" s="438">
        <f>VLOOKUP($B38,'CIRS Table IDs'!$B$6:$M$1001,12,FALSE)</f>
        <v>4000</v>
      </c>
      <c r="N38" s="436" t="str">
        <f t="shared" si="0"/>
        <v>Warning</v>
      </c>
      <c r="Q38" s="49"/>
      <c r="R38" s="49"/>
      <c r="S38" s="49"/>
      <c r="T38" s="49"/>
    </row>
    <row r="39" spans="1:20" x14ac:dyDescent="0.2">
      <c r="A39" s="21"/>
      <c r="B39" s="45" t="s">
        <v>51</v>
      </c>
      <c r="C39" s="40">
        <v>2016</v>
      </c>
      <c r="D39" s="40">
        <f>IF(H38&gt;=$E463,G38,G38-1)</f>
        <v>332</v>
      </c>
      <c r="E39" s="37">
        <f>IF(H38-$E463&gt;0,H38-$E463,H38-$E463+$E469)</f>
        <v>0.41249999999999953</v>
      </c>
      <c r="F39" s="40">
        <v>2016</v>
      </c>
      <c r="G39" s="40">
        <v>332</v>
      </c>
      <c r="H39" s="37">
        <v>0.46875</v>
      </c>
      <c r="I39" s="43">
        <v>50</v>
      </c>
      <c r="J39" s="43">
        <f t="shared" si="3"/>
        <v>10</v>
      </c>
      <c r="K39" s="43"/>
      <c r="L39" s="438">
        <f>IF($I39&lt;192,0,IF($I39&gt;597,0, IF(VLOOKUP($I39,'CIRS Table Info'!$B$6:$J$425,3,FALSE)="Co-Add", 0.5,1) * (400 + IF(VLOOKUP($I39,'CIRS Table Info'!$B$6:$J$425,5,FALSE)="Data",1800,0) + IF(VLOOKUP($I39,'CIRS Table Info'!$B$6:$J$425,7,FALSE)="Data",1800,0) )))</f>
        <v>0</v>
      </c>
      <c r="M39" s="438">
        <f>VLOOKUP($B39,'CIRS Table IDs'!$B$6:$M$1001,12,FALSE)</f>
        <v>0</v>
      </c>
      <c r="N39" s="436" t="str">
        <f t="shared" si="0"/>
        <v/>
      </c>
      <c r="Q39" s="49"/>
      <c r="R39" s="49"/>
      <c r="S39" s="49"/>
      <c r="T39" s="49"/>
    </row>
    <row r="40" spans="1:20" x14ac:dyDescent="0.2">
      <c r="A40" s="21">
        <v>12</v>
      </c>
      <c r="B40" s="45" t="s">
        <v>389</v>
      </c>
      <c r="C40" s="36">
        <v>2016</v>
      </c>
      <c r="D40" s="36">
        <v>332</v>
      </c>
      <c r="E40" s="37">
        <v>0.46875</v>
      </c>
      <c r="F40" s="36">
        <v>2016</v>
      </c>
      <c r="G40" s="36">
        <v>333</v>
      </c>
      <c r="H40" s="37">
        <v>0.16666666666666699</v>
      </c>
      <c r="I40" s="43">
        <v>761</v>
      </c>
      <c r="J40" s="43">
        <f t="shared" si="3"/>
        <v>1</v>
      </c>
      <c r="K40" s="43"/>
      <c r="L40" s="438">
        <f>IF($I40&lt;192,0,IF($I40&gt;597,0, IF(VLOOKUP($I40,'CIRS Table Info'!$B$6:$J$425,3,FALSE)="Co-Add", 0.5,1) * (400 + IF(VLOOKUP($I40,'CIRS Table Info'!$B$6:$J$425,5,FALSE)="Data",1800,0) + IF(VLOOKUP($I40,'CIRS Table Info'!$B$6:$J$425,7,FALSE)="Data",1800,0) )))</f>
        <v>0</v>
      </c>
      <c r="M40" s="438">
        <f>VLOOKUP($B40,'CIRS Table IDs'!$B$6:$M$1001,12,FALSE)</f>
        <v>3000</v>
      </c>
      <c r="N40" s="436" t="str">
        <f t="shared" si="0"/>
        <v/>
      </c>
      <c r="Q40" s="49"/>
      <c r="R40" s="49"/>
      <c r="S40" s="49"/>
      <c r="T40" s="49"/>
    </row>
    <row r="41" spans="1:20" x14ac:dyDescent="0.2">
      <c r="A41" s="21"/>
      <c r="B41" s="45" t="s">
        <v>52</v>
      </c>
      <c r="C41" s="40">
        <v>2016</v>
      </c>
      <c r="D41" s="40">
        <f>IF(H40&gt;=$E463,G40,G40-1)</f>
        <v>333</v>
      </c>
      <c r="E41" s="37">
        <f>IF(H40-$E463&gt;0,H40-$E463,H40-$E463+$E469)</f>
        <v>0.16597222222222255</v>
      </c>
      <c r="F41" s="40">
        <v>2016</v>
      </c>
      <c r="G41" s="40">
        <v>333</v>
      </c>
      <c r="H41" s="37">
        <v>0.93611111111111101</v>
      </c>
      <c r="I41" s="43">
        <v>50</v>
      </c>
      <c r="J41" s="43">
        <f t="shared" si="3"/>
        <v>10</v>
      </c>
      <c r="K41" s="43"/>
      <c r="L41" s="438">
        <f>IF($I41&lt;192,0,IF($I41&gt;597,0, IF(VLOOKUP($I41,'CIRS Table Info'!$B$6:$J$425,3,FALSE)="Co-Add", 0.5,1) * (400 + IF(VLOOKUP($I41,'CIRS Table Info'!$B$6:$J$425,5,FALSE)="Data",1800,0) + IF(VLOOKUP($I41,'CIRS Table Info'!$B$6:$J$425,7,FALSE)="Data",1800,0) )))</f>
        <v>0</v>
      </c>
      <c r="M41" s="438">
        <f>VLOOKUP($B41,'CIRS Table IDs'!$B$6:$M$1001,12,FALSE)</f>
        <v>0</v>
      </c>
      <c r="N41" s="436" t="str">
        <f t="shared" si="0"/>
        <v/>
      </c>
      <c r="Q41" s="49"/>
      <c r="R41" s="49"/>
      <c r="S41" s="49"/>
      <c r="T41" s="49"/>
    </row>
    <row r="42" spans="1:20" x14ac:dyDescent="0.2">
      <c r="A42" s="21">
        <v>13</v>
      </c>
      <c r="B42" s="45" t="s">
        <v>390</v>
      </c>
      <c r="C42" s="36">
        <v>2016</v>
      </c>
      <c r="D42" s="36">
        <v>333</v>
      </c>
      <c r="E42" s="37">
        <v>0.93611111111111101</v>
      </c>
      <c r="F42" s="36">
        <v>2016</v>
      </c>
      <c r="G42" s="36">
        <v>334</v>
      </c>
      <c r="H42" s="37">
        <v>0.227777777777778</v>
      </c>
      <c r="I42" s="43">
        <v>762</v>
      </c>
      <c r="J42" s="43">
        <f t="shared" si="3"/>
        <v>1</v>
      </c>
      <c r="K42" s="43"/>
      <c r="L42" s="438">
        <f>IF($I42&lt;192,0,IF($I42&gt;597,0, IF(VLOOKUP($I42,'CIRS Table Info'!$B$6:$J$425,3,FALSE)="Co-Add", 0.5,1) * (400 + IF(VLOOKUP($I42,'CIRS Table Info'!$B$6:$J$425,5,FALSE)="Data",1800,0) + IF(VLOOKUP($I42,'CIRS Table Info'!$B$6:$J$425,7,FALSE)="Data",1800,0) )))</f>
        <v>0</v>
      </c>
      <c r="M42" s="438">
        <f>VLOOKUP($B42,'CIRS Table IDs'!$B$6:$M$1001,12,FALSE)</f>
        <v>1716</v>
      </c>
      <c r="N42" s="436" t="str">
        <f t="shared" si="0"/>
        <v/>
      </c>
      <c r="Q42" s="49"/>
      <c r="R42" s="49"/>
      <c r="S42" s="49"/>
      <c r="T42" s="49"/>
    </row>
    <row r="43" spans="1:20" x14ac:dyDescent="0.2">
      <c r="A43" s="21"/>
      <c r="B43" s="45" t="s">
        <v>53</v>
      </c>
      <c r="C43" s="40">
        <v>2016</v>
      </c>
      <c r="D43" s="40">
        <f>IF(H42&gt;=$E463,G42,G42-1)</f>
        <v>334</v>
      </c>
      <c r="E43" s="37">
        <f>IF(H42-$E463&gt;0,H42-$E463,H42-$E463+$E469)</f>
        <v>0.22708333333333355</v>
      </c>
      <c r="F43" s="40">
        <v>2016</v>
      </c>
      <c r="G43" s="40">
        <v>334</v>
      </c>
      <c r="H43" s="37">
        <v>0.26194444444444398</v>
      </c>
      <c r="I43" s="43">
        <v>602</v>
      </c>
      <c r="J43" s="43">
        <f t="shared" si="3"/>
        <v>1</v>
      </c>
      <c r="K43" s="43"/>
      <c r="L43" s="438">
        <f>IF($I43&lt;192,0,IF($I43&gt;597,0, IF(VLOOKUP($I43,'CIRS Table Info'!$B$6:$J$425,3,FALSE)="Co-Add", 0.5,1) * (400 + IF(VLOOKUP($I43,'CIRS Table Info'!$B$6:$J$425,5,FALSE)="Data",1800,0) + IF(VLOOKUP($I43,'CIRS Table Info'!$B$6:$J$425,7,FALSE)="Data",1800,0) )))</f>
        <v>0</v>
      </c>
      <c r="M43" s="438">
        <f>VLOOKUP($B43,'CIRS Table IDs'!$B$6:$M$1001,12,FALSE)</f>
        <v>0</v>
      </c>
      <c r="N43" s="436" t="str">
        <f t="shared" si="0"/>
        <v/>
      </c>
      <c r="Q43" s="49"/>
      <c r="R43" s="49"/>
      <c r="S43" s="49"/>
      <c r="T43" s="49"/>
    </row>
    <row r="44" spans="1:20" x14ac:dyDescent="0.2">
      <c r="A44" s="21">
        <v>14</v>
      </c>
      <c r="B44" s="45" t="s">
        <v>391</v>
      </c>
      <c r="C44" s="36">
        <v>2016</v>
      </c>
      <c r="D44" s="36">
        <v>334</v>
      </c>
      <c r="E44" s="37">
        <v>0.26194444444444398</v>
      </c>
      <c r="F44" s="36">
        <v>2016</v>
      </c>
      <c r="G44" s="36">
        <v>334</v>
      </c>
      <c r="H44" s="37">
        <v>0.34342592592592602</v>
      </c>
      <c r="I44" s="43">
        <v>473</v>
      </c>
      <c r="J44" s="43">
        <v>1</v>
      </c>
      <c r="K44" s="43"/>
      <c r="L44" s="438">
        <f>IF($I44&lt;192,0,IF($I44&gt;597,0, IF(VLOOKUP($I44,'CIRS Table Info'!$B$6:$J$425,3,FALSE)="Co-Add", 0.5,1) * (400 + IF(VLOOKUP($I44,'CIRS Table Info'!$B$6:$J$425,5,FALSE)="Data",1800,0) + IF(VLOOKUP($I44,'CIRS Table Info'!$B$6:$J$425,7,FALSE)="Data",1800,0) )))</f>
        <v>2000</v>
      </c>
      <c r="M44" s="438">
        <f>VLOOKUP($B44,'CIRS Table IDs'!$B$6:$M$1001,12,FALSE)</f>
        <v>1900</v>
      </c>
      <c r="N44" s="436" t="str">
        <f t="shared" si="0"/>
        <v>Error</v>
      </c>
      <c r="Q44" s="49"/>
      <c r="R44" s="49"/>
      <c r="S44" s="49"/>
      <c r="T44" s="49"/>
    </row>
    <row r="45" spans="1:20" x14ac:dyDescent="0.2">
      <c r="A45" s="21"/>
      <c r="B45" s="45" t="s">
        <v>54</v>
      </c>
      <c r="C45" s="40">
        <v>2016</v>
      </c>
      <c r="D45" s="40">
        <f>IF(H44&gt;=$E463,G44,G44-1)</f>
        <v>334</v>
      </c>
      <c r="E45" s="37">
        <f>IF(H44-$E463&gt;0,H44-$E463,H44-$E463+$E469)</f>
        <v>0.34273148148148158</v>
      </c>
      <c r="F45" s="40">
        <v>2016</v>
      </c>
      <c r="G45" s="40">
        <v>334</v>
      </c>
      <c r="H45" s="37">
        <v>0.34342592592592602</v>
      </c>
      <c r="I45" s="43">
        <v>602</v>
      </c>
      <c r="J45" s="43">
        <f>IF(I45=50,10,1)</f>
        <v>1</v>
      </c>
      <c r="K45" s="43"/>
      <c r="L45" s="438">
        <f>IF($I45&lt;192,0,IF($I45&gt;597,0, IF(VLOOKUP($I45,'CIRS Table Info'!$B$6:$J$425,3,FALSE)="Co-Add", 0.5,1) * (400 + IF(VLOOKUP($I45,'CIRS Table Info'!$B$6:$J$425,5,FALSE)="Data",1800,0) + IF(VLOOKUP($I45,'CIRS Table Info'!$B$6:$J$425,7,FALSE)="Data",1800,0) )))</f>
        <v>0</v>
      </c>
      <c r="M45" s="438">
        <f>VLOOKUP($B45,'CIRS Table IDs'!$B$6:$M$1001,12,FALSE)</f>
        <v>0</v>
      </c>
      <c r="N45" s="436" t="str">
        <f t="shared" si="0"/>
        <v/>
      </c>
      <c r="Q45" s="49"/>
      <c r="R45" s="49"/>
      <c r="S45" s="49"/>
      <c r="T45" s="49"/>
    </row>
    <row r="46" spans="1:20" x14ac:dyDescent="0.2">
      <c r="A46" s="21">
        <v>15</v>
      </c>
      <c r="B46" s="45" t="s">
        <v>392</v>
      </c>
      <c r="C46" s="36">
        <v>2016</v>
      </c>
      <c r="D46" s="36">
        <v>334</v>
      </c>
      <c r="E46" s="37">
        <v>0.34342592592592602</v>
      </c>
      <c r="F46" s="36">
        <v>2016</v>
      </c>
      <c r="G46" s="36">
        <v>334</v>
      </c>
      <c r="H46" s="37">
        <v>0.55175925925925895</v>
      </c>
      <c r="I46" s="43">
        <v>473</v>
      </c>
      <c r="J46" s="43">
        <v>1</v>
      </c>
      <c r="K46" s="43"/>
      <c r="L46" s="438">
        <f>IF($I46&lt;192,0,IF($I46&gt;597,0, IF(VLOOKUP($I46,'CIRS Table Info'!$B$6:$J$425,3,FALSE)="Co-Add", 0.5,1) * (400 + IF(VLOOKUP($I46,'CIRS Table Info'!$B$6:$J$425,5,FALSE)="Data",1800,0) + IF(VLOOKUP($I46,'CIRS Table Info'!$B$6:$J$425,7,FALSE)="Data",1800,0) )))</f>
        <v>2000</v>
      </c>
      <c r="M46" s="438">
        <f>VLOOKUP($B46,'CIRS Table IDs'!$B$6:$M$1001,12,FALSE)</f>
        <v>1900</v>
      </c>
      <c r="N46" s="436" t="str">
        <f t="shared" si="0"/>
        <v>Error</v>
      </c>
      <c r="Q46" s="49"/>
      <c r="R46" s="49"/>
      <c r="S46" s="49"/>
      <c r="T46" s="49"/>
    </row>
    <row r="47" spans="1:20" x14ac:dyDescent="0.2">
      <c r="A47" s="21"/>
      <c r="B47" s="45" t="s">
        <v>55</v>
      </c>
      <c r="C47" s="40">
        <v>2016</v>
      </c>
      <c r="D47" s="40">
        <f>IF(H46&gt;=$E463,G46,G46-1)</f>
        <v>334</v>
      </c>
      <c r="E47" s="37">
        <f>IF(H46-$E463&gt;0,H46-$E463,H46-$E463+$E469)</f>
        <v>0.55106481481481451</v>
      </c>
      <c r="F47" s="40">
        <v>2016</v>
      </c>
      <c r="G47" s="40">
        <v>334</v>
      </c>
      <c r="H47" s="37">
        <v>0.55175925925925895</v>
      </c>
      <c r="I47" s="43">
        <v>602</v>
      </c>
      <c r="J47" s="43">
        <f>IF(I47=50,10,1)</f>
        <v>1</v>
      </c>
      <c r="K47" s="43"/>
      <c r="L47" s="438">
        <f>IF($I47&lt;192,0,IF($I47&gt;597,0, IF(VLOOKUP($I47,'CIRS Table Info'!$B$6:$J$425,3,FALSE)="Co-Add", 0.5,1) * (400 + IF(VLOOKUP($I47,'CIRS Table Info'!$B$6:$J$425,5,FALSE)="Data",1800,0) + IF(VLOOKUP($I47,'CIRS Table Info'!$B$6:$J$425,7,FALSE)="Data",1800,0) )))</f>
        <v>0</v>
      </c>
      <c r="M47" s="438">
        <f>VLOOKUP($B47,'CIRS Table IDs'!$B$6:$M$1001,12,FALSE)</f>
        <v>0</v>
      </c>
      <c r="N47" s="436" t="str">
        <f t="shared" si="0"/>
        <v/>
      </c>
      <c r="Q47" s="49"/>
      <c r="R47" s="49"/>
      <c r="S47" s="49"/>
      <c r="T47" s="49"/>
    </row>
    <row r="48" spans="1:20" x14ac:dyDescent="0.2">
      <c r="A48" s="21">
        <v>16</v>
      </c>
      <c r="B48" s="45" t="s">
        <v>393</v>
      </c>
      <c r="C48" s="36">
        <v>2016</v>
      </c>
      <c r="D48" s="36">
        <v>334</v>
      </c>
      <c r="E48" s="37">
        <v>0.55175925925925895</v>
      </c>
      <c r="F48" s="36">
        <v>2016</v>
      </c>
      <c r="G48" s="36">
        <v>334</v>
      </c>
      <c r="H48" s="37">
        <v>0.71842592592592602</v>
      </c>
      <c r="I48" s="43">
        <v>473</v>
      </c>
      <c r="J48" s="43">
        <v>1</v>
      </c>
      <c r="K48" s="43"/>
      <c r="L48" s="438">
        <f>IF($I48&lt;192,0,IF($I48&gt;597,0, IF(VLOOKUP($I48,'CIRS Table Info'!$B$6:$J$425,3,FALSE)="Co-Add", 0.5,1) * (400 + IF(VLOOKUP($I48,'CIRS Table Info'!$B$6:$J$425,5,FALSE)="Data",1800,0) + IF(VLOOKUP($I48,'CIRS Table Info'!$B$6:$J$425,7,FALSE)="Data",1800,0) )))</f>
        <v>2000</v>
      </c>
      <c r="M48" s="438">
        <f>VLOOKUP($B48,'CIRS Table IDs'!$B$6:$M$1001,12,FALSE)</f>
        <v>1900</v>
      </c>
      <c r="N48" s="436" t="str">
        <f t="shared" si="0"/>
        <v>Error</v>
      </c>
      <c r="Q48" s="49"/>
      <c r="R48" s="49"/>
      <c r="S48" s="49"/>
      <c r="T48" s="49"/>
    </row>
    <row r="49" spans="1:20" x14ac:dyDescent="0.2">
      <c r="A49" s="21"/>
      <c r="B49" s="45" t="s">
        <v>56</v>
      </c>
      <c r="C49" s="40">
        <v>2016</v>
      </c>
      <c r="D49" s="40">
        <f>IF(H48&gt;=$E463,G48,G48-1)</f>
        <v>334</v>
      </c>
      <c r="E49" s="37">
        <f>IF(H48-$E463&gt;0,H48-$E463,H48-$E463+$E469)</f>
        <v>0.71773148148148158</v>
      </c>
      <c r="F49" s="40">
        <v>2016</v>
      </c>
      <c r="G49" s="40">
        <v>334</v>
      </c>
      <c r="H49" s="37">
        <v>0.71842592592592602</v>
      </c>
      <c r="I49" s="43">
        <v>602</v>
      </c>
      <c r="J49" s="43">
        <f>IF(I49=50,10,1)</f>
        <v>1</v>
      </c>
      <c r="K49" s="43"/>
      <c r="L49" s="438">
        <f>IF($I49&lt;192,0,IF($I49&gt;597,0, IF(VLOOKUP($I49,'CIRS Table Info'!$B$6:$J$425,3,FALSE)="Co-Add", 0.5,1) * (400 + IF(VLOOKUP($I49,'CIRS Table Info'!$B$6:$J$425,5,FALSE)="Data",1800,0) + IF(VLOOKUP($I49,'CIRS Table Info'!$B$6:$J$425,7,FALSE)="Data",1800,0) )))</f>
        <v>0</v>
      </c>
      <c r="M49" s="438">
        <f>VLOOKUP($B49,'CIRS Table IDs'!$B$6:$M$1001,12,FALSE)</f>
        <v>0</v>
      </c>
      <c r="N49" s="436" t="str">
        <f t="shared" si="0"/>
        <v/>
      </c>
      <c r="Q49" s="49"/>
      <c r="R49" s="49"/>
      <c r="S49" s="49"/>
      <c r="T49" s="49"/>
    </row>
    <row r="50" spans="1:20" x14ac:dyDescent="0.2">
      <c r="A50" s="21">
        <v>17</v>
      </c>
      <c r="B50" s="45" t="s">
        <v>394</v>
      </c>
      <c r="C50" s="36">
        <v>2016</v>
      </c>
      <c r="D50" s="36">
        <v>334</v>
      </c>
      <c r="E50" s="37">
        <v>0.71842592592592602</v>
      </c>
      <c r="F50" s="36">
        <v>2016</v>
      </c>
      <c r="G50" s="36">
        <v>334</v>
      </c>
      <c r="H50" s="37">
        <v>0.83300925925925895</v>
      </c>
      <c r="I50" s="43">
        <v>245</v>
      </c>
      <c r="J50" s="43">
        <v>1</v>
      </c>
      <c r="K50" s="43"/>
      <c r="L50" s="438">
        <f>IF($I50&lt;192,0,IF($I50&gt;597,0, IF(VLOOKUP($I50,'CIRS Table Info'!$B$6:$J$425,3,FALSE)="Co-Add", 0.5,1) * (400 + IF(VLOOKUP($I50,'CIRS Table Info'!$B$6:$J$425,5,FALSE)="Data",1800,0) + IF(VLOOKUP($I50,'CIRS Table Info'!$B$6:$J$425,7,FALSE)="Data",1800,0) )))</f>
        <v>2000</v>
      </c>
      <c r="M50" s="438">
        <f>VLOOKUP($B50,'CIRS Table IDs'!$B$6:$M$1001,12,FALSE)</f>
        <v>1900</v>
      </c>
      <c r="N50" s="436" t="str">
        <f t="shared" si="0"/>
        <v>Error</v>
      </c>
      <c r="Q50" s="49"/>
      <c r="R50" s="49"/>
      <c r="S50" s="49"/>
      <c r="T50" s="49"/>
    </row>
    <row r="51" spans="1:20" x14ac:dyDescent="0.2">
      <c r="A51" s="21"/>
      <c r="B51" s="45" t="s">
        <v>57</v>
      </c>
      <c r="C51" s="40">
        <v>2016</v>
      </c>
      <c r="D51" s="40">
        <f>IF(H50&gt;=$E463,G50,G50-1)</f>
        <v>334</v>
      </c>
      <c r="E51" s="37">
        <f>IF(H50-$E463&gt;0,H50-$E463,H50-$E463+$E469)</f>
        <v>0.83231481481481451</v>
      </c>
      <c r="F51" s="40">
        <v>2016</v>
      </c>
      <c r="G51" s="40">
        <v>334</v>
      </c>
      <c r="H51" s="37">
        <v>0.83300925925925895</v>
      </c>
      <c r="I51" s="43">
        <v>602</v>
      </c>
      <c r="J51" s="43">
        <f>IF(I51=50,10,1)</f>
        <v>1</v>
      </c>
      <c r="K51" s="43"/>
      <c r="L51" s="438">
        <f>IF($I51&lt;192,0,IF($I51&gt;597,0, IF(VLOOKUP($I51,'CIRS Table Info'!$B$6:$J$425,3,FALSE)="Co-Add", 0.5,1) * (400 + IF(VLOOKUP($I51,'CIRS Table Info'!$B$6:$J$425,5,FALSE)="Data",1800,0) + IF(VLOOKUP($I51,'CIRS Table Info'!$B$6:$J$425,7,FALSE)="Data",1800,0) )))</f>
        <v>0</v>
      </c>
      <c r="M51" s="438">
        <f>VLOOKUP($B51,'CIRS Table IDs'!$B$6:$M$1001,12,FALSE)</f>
        <v>0</v>
      </c>
      <c r="N51" s="436" t="str">
        <f t="shared" si="0"/>
        <v/>
      </c>
      <c r="Q51" s="49"/>
      <c r="R51" s="49"/>
      <c r="S51" s="49"/>
      <c r="T51" s="49"/>
    </row>
    <row r="52" spans="1:20" x14ac:dyDescent="0.2">
      <c r="A52" s="21">
        <v>18</v>
      </c>
      <c r="B52" s="45" t="s">
        <v>395</v>
      </c>
      <c r="C52" s="36">
        <v>2016</v>
      </c>
      <c r="D52" s="36">
        <v>334</v>
      </c>
      <c r="E52" s="37">
        <v>0.83300925925925895</v>
      </c>
      <c r="F52" s="36">
        <v>2016</v>
      </c>
      <c r="G52" s="36">
        <v>334</v>
      </c>
      <c r="H52" s="37">
        <v>0.90592592592592602</v>
      </c>
      <c r="I52" s="43">
        <v>245</v>
      </c>
      <c r="J52" s="43">
        <v>1</v>
      </c>
      <c r="K52" s="43"/>
      <c r="L52" s="438">
        <f>IF($I52&lt;192,0,IF($I52&gt;597,0, IF(VLOOKUP($I52,'CIRS Table Info'!$B$6:$J$425,3,FALSE)="Co-Add", 0.5,1) * (400 + IF(VLOOKUP($I52,'CIRS Table Info'!$B$6:$J$425,5,FALSE)="Data",1800,0) + IF(VLOOKUP($I52,'CIRS Table Info'!$B$6:$J$425,7,FALSE)="Data",1800,0) )))</f>
        <v>2000</v>
      </c>
      <c r="M52" s="438">
        <f>VLOOKUP($B52,'CIRS Table IDs'!$B$6:$M$1001,12,FALSE)</f>
        <v>1900</v>
      </c>
      <c r="N52" s="436" t="str">
        <f t="shared" si="0"/>
        <v>Error</v>
      </c>
      <c r="Q52" s="49"/>
      <c r="R52" s="49"/>
      <c r="S52" s="49"/>
      <c r="T52" s="49"/>
    </row>
    <row r="53" spans="1:20" x14ac:dyDescent="0.2">
      <c r="A53" s="21"/>
      <c r="B53" s="45" t="s">
        <v>58</v>
      </c>
      <c r="C53" s="40">
        <v>2016</v>
      </c>
      <c r="D53" s="40">
        <f>IF(H52&gt;=$E463,G52,G52-1)</f>
        <v>334</v>
      </c>
      <c r="E53" s="37">
        <f>IF(H52-$E463&gt;0,H52-$E463,H52-$E463+$E469)</f>
        <v>0.90523148148148158</v>
      </c>
      <c r="F53" s="40">
        <v>2016</v>
      </c>
      <c r="G53" s="40">
        <v>334</v>
      </c>
      <c r="H53" s="37">
        <v>0.90592592592592602</v>
      </c>
      <c r="I53" s="43">
        <v>602</v>
      </c>
      <c r="J53" s="43">
        <f>IF(I53=50,10,1)</f>
        <v>1</v>
      </c>
      <c r="K53" s="43"/>
      <c r="L53" s="438">
        <f>IF($I53&lt;192,0,IF($I53&gt;597,0, IF(VLOOKUP($I53,'CIRS Table Info'!$B$6:$J$425,3,FALSE)="Co-Add", 0.5,1) * (400 + IF(VLOOKUP($I53,'CIRS Table Info'!$B$6:$J$425,5,FALSE)="Data",1800,0) + IF(VLOOKUP($I53,'CIRS Table Info'!$B$6:$J$425,7,FALSE)="Data",1800,0) )))</f>
        <v>0</v>
      </c>
      <c r="M53" s="438">
        <f>VLOOKUP($B53,'CIRS Table IDs'!$B$6:$M$1001,12,FALSE)</f>
        <v>0</v>
      </c>
      <c r="N53" s="436" t="str">
        <f t="shared" si="0"/>
        <v/>
      </c>
      <c r="Q53" s="49"/>
      <c r="R53" s="49"/>
      <c r="S53" s="49"/>
      <c r="T53" s="49"/>
    </row>
    <row r="54" spans="1:20" x14ac:dyDescent="0.2">
      <c r="A54" s="21">
        <v>19</v>
      </c>
      <c r="B54" s="45" t="s">
        <v>396</v>
      </c>
      <c r="C54" s="36">
        <v>2016</v>
      </c>
      <c r="D54" s="36">
        <v>334</v>
      </c>
      <c r="E54" s="37">
        <v>0.90592592592592602</v>
      </c>
      <c r="F54" s="36">
        <v>2016</v>
      </c>
      <c r="G54" s="36">
        <v>334</v>
      </c>
      <c r="H54" s="37">
        <v>0.93717592592592602</v>
      </c>
      <c r="I54" s="43">
        <v>245</v>
      </c>
      <c r="J54" s="43">
        <v>1</v>
      </c>
      <c r="K54" s="43"/>
      <c r="L54" s="438">
        <f>IF($I54&lt;192,0,IF($I54&gt;597,0, IF(VLOOKUP($I54,'CIRS Table Info'!$B$6:$J$425,3,FALSE)="Co-Add", 0.5,1) * (400 + IF(VLOOKUP($I54,'CIRS Table Info'!$B$6:$J$425,5,FALSE)="Data",1800,0) + IF(VLOOKUP($I54,'CIRS Table Info'!$B$6:$J$425,7,FALSE)="Data",1800,0) )))</f>
        <v>2000</v>
      </c>
      <c r="M54" s="438">
        <f>VLOOKUP($B54,'CIRS Table IDs'!$B$6:$M$1001,12,FALSE)</f>
        <v>1900</v>
      </c>
      <c r="N54" s="436" t="str">
        <f t="shared" si="0"/>
        <v>Error</v>
      </c>
      <c r="Q54" s="49"/>
      <c r="R54" s="49"/>
      <c r="S54" s="49"/>
      <c r="T54" s="49"/>
    </row>
    <row r="55" spans="1:20" x14ac:dyDescent="0.2">
      <c r="A55" s="21"/>
      <c r="B55" s="45" t="s">
        <v>59</v>
      </c>
      <c r="C55" s="40">
        <v>2016</v>
      </c>
      <c r="D55" s="40">
        <f>IF(H54&gt;=$E463,G54,G54-1)</f>
        <v>334</v>
      </c>
      <c r="E55" s="37">
        <f>IF(H54-$E463&gt;0,H54-$E463,H54-$E463+$E469)</f>
        <v>0.93648148148148158</v>
      </c>
      <c r="F55" s="40">
        <v>2016</v>
      </c>
      <c r="G55" s="40">
        <v>334</v>
      </c>
      <c r="H55" s="37">
        <v>0.93717592592592602</v>
      </c>
      <c r="I55" s="43">
        <v>600</v>
      </c>
      <c r="J55" s="43">
        <f>IF(I55=50,10,1)</f>
        <v>1</v>
      </c>
      <c r="K55" s="43"/>
      <c r="L55" s="438">
        <f>IF($I55&lt;192,0,IF($I55&gt;597,0, IF(VLOOKUP($I55,'CIRS Table Info'!$B$6:$J$425,3,FALSE)="Co-Add", 0.5,1) * (400 + IF(VLOOKUP($I55,'CIRS Table Info'!$B$6:$J$425,5,FALSE)="Data",1800,0) + IF(VLOOKUP($I55,'CIRS Table Info'!$B$6:$J$425,7,FALSE)="Data",1800,0) )))</f>
        <v>0</v>
      </c>
      <c r="M55" s="438">
        <f>VLOOKUP($B55,'CIRS Table IDs'!$B$6:$M$1001,12,FALSE)</f>
        <v>0</v>
      </c>
      <c r="N55" s="436" t="str">
        <f t="shared" si="0"/>
        <v/>
      </c>
      <c r="Q55" s="49"/>
      <c r="R55" s="49"/>
      <c r="S55" s="49"/>
      <c r="T55" s="49"/>
    </row>
    <row r="56" spans="1:20" x14ac:dyDescent="0.2">
      <c r="A56" s="21">
        <v>20</v>
      </c>
      <c r="B56" s="45" t="s">
        <v>397</v>
      </c>
      <c r="C56" s="36">
        <v>2016</v>
      </c>
      <c r="D56" s="36">
        <v>334</v>
      </c>
      <c r="E56" s="37">
        <v>0.93717592592592602</v>
      </c>
      <c r="F56" s="36">
        <v>2016</v>
      </c>
      <c r="G56" s="36">
        <v>334</v>
      </c>
      <c r="H56" s="37">
        <v>0.95800925925925895</v>
      </c>
      <c r="I56" s="43">
        <v>208</v>
      </c>
      <c r="J56" s="43">
        <v>1</v>
      </c>
      <c r="K56" s="43"/>
      <c r="L56" s="438">
        <f>IF($I56&lt;192,0,IF($I56&gt;597,0, IF(VLOOKUP($I56,'CIRS Table Info'!$B$6:$J$425,3,FALSE)="Co-Add", 0.5,1) * (400 + IF(VLOOKUP($I56,'CIRS Table Info'!$B$6:$J$425,5,FALSE)="Data",1800,0) + IF(VLOOKUP($I56,'CIRS Table Info'!$B$6:$J$425,7,FALSE)="Data",1800,0) )))</f>
        <v>4000</v>
      </c>
      <c r="M56" s="438">
        <f>VLOOKUP($B56,'CIRS Table IDs'!$B$6:$M$1001,12,FALSE)</f>
        <v>4000</v>
      </c>
      <c r="N56" s="436" t="str">
        <f t="shared" si="0"/>
        <v/>
      </c>
      <c r="Q56" s="49"/>
      <c r="R56" s="49"/>
      <c r="S56" s="49"/>
      <c r="T56" s="49"/>
    </row>
    <row r="57" spans="1:20" x14ac:dyDescent="0.2">
      <c r="A57" s="21"/>
      <c r="B57" s="45" t="s">
        <v>60</v>
      </c>
      <c r="C57" s="40">
        <v>2016</v>
      </c>
      <c r="D57" s="40">
        <f>IF(H56&gt;=$E463,G56,G56-1)</f>
        <v>334</v>
      </c>
      <c r="E57" s="37">
        <f>IF(H56-$E463&gt;0,H56-$E463,H56-$E463+$E469)</f>
        <v>0.95731481481481451</v>
      </c>
      <c r="F57" s="40">
        <v>2016</v>
      </c>
      <c r="G57" s="40">
        <v>334</v>
      </c>
      <c r="H57" s="37">
        <v>0.95800925925925895</v>
      </c>
      <c r="I57" s="43">
        <v>600</v>
      </c>
      <c r="J57" s="43">
        <f>IF(I57=50,10,1)</f>
        <v>1</v>
      </c>
      <c r="K57" s="43"/>
      <c r="L57" s="438">
        <f>IF($I57&lt;192,0,IF($I57&gt;597,0, IF(VLOOKUP($I57,'CIRS Table Info'!$B$6:$J$425,3,FALSE)="Co-Add", 0.5,1) * (400 + IF(VLOOKUP($I57,'CIRS Table Info'!$B$6:$J$425,5,FALSE)="Data",1800,0) + IF(VLOOKUP($I57,'CIRS Table Info'!$B$6:$J$425,7,FALSE)="Data",1800,0) )))</f>
        <v>0</v>
      </c>
      <c r="M57" s="438">
        <f>VLOOKUP($B57,'CIRS Table IDs'!$B$6:$M$1001,12,FALSE)</f>
        <v>0</v>
      </c>
      <c r="N57" s="436" t="str">
        <f t="shared" si="0"/>
        <v/>
      </c>
      <c r="Q57" s="49"/>
      <c r="R57" s="49"/>
      <c r="S57" s="49"/>
      <c r="T57" s="49"/>
    </row>
    <row r="58" spans="1:20" x14ac:dyDescent="0.2">
      <c r="A58" s="21">
        <v>21</v>
      </c>
      <c r="B58" s="45" t="s">
        <v>400</v>
      </c>
      <c r="C58" s="36">
        <v>2016</v>
      </c>
      <c r="D58" s="36">
        <v>334</v>
      </c>
      <c r="E58" s="37">
        <v>0.95800925925925895</v>
      </c>
      <c r="F58" s="36">
        <v>2016</v>
      </c>
      <c r="G58" s="36">
        <v>334</v>
      </c>
      <c r="H58" s="37">
        <v>0.97884259259259299</v>
      </c>
      <c r="I58" s="43">
        <v>208</v>
      </c>
      <c r="J58" s="43">
        <v>1</v>
      </c>
      <c r="K58" s="43"/>
      <c r="L58" s="438">
        <f>IF($I58&lt;192,0,IF($I58&gt;597,0, IF(VLOOKUP($I58,'CIRS Table Info'!$B$6:$J$425,3,FALSE)="Co-Add", 0.5,1) * (400 + IF(VLOOKUP($I58,'CIRS Table Info'!$B$6:$J$425,5,FALSE)="Data",1800,0) + IF(VLOOKUP($I58,'CIRS Table Info'!$B$6:$J$425,7,FALSE)="Data",1800,0) )))</f>
        <v>4000</v>
      </c>
      <c r="M58" s="438">
        <f>VLOOKUP($B58,'CIRS Table IDs'!$B$6:$M$1001,12,FALSE)</f>
        <v>4000</v>
      </c>
      <c r="N58" s="436" t="str">
        <f t="shared" si="0"/>
        <v/>
      </c>
      <c r="Q58" s="49"/>
      <c r="R58" s="49"/>
      <c r="S58" s="49"/>
      <c r="T58" s="49"/>
    </row>
    <row r="59" spans="1:20" x14ac:dyDescent="0.2">
      <c r="A59" s="21"/>
      <c r="B59" s="45" t="s">
        <v>61</v>
      </c>
      <c r="C59" s="40">
        <v>2016</v>
      </c>
      <c r="D59" s="40">
        <f>IF(H58&gt;=$E463,G58,G58-1)</f>
        <v>334</v>
      </c>
      <c r="E59" s="37">
        <f>IF(H58-$E463&gt;0,H58-$E463,H58-$E463+$E469)</f>
        <v>0.97814814814814854</v>
      </c>
      <c r="F59" s="40">
        <v>2016</v>
      </c>
      <c r="G59" s="40">
        <v>334</v>
      </c>
      <c r="H59" s="37">
        <v>0.97884259259259299</v>
      </c>
      <c r="I59" s="43">
        <v>606</v>
      </c>
      <c r="J59" s="43">
        <f>IF(I59=50,10,1)</f>
        <v>1</v>
      </c>
      <c r="K59" s="43"/>
      <c r="L59" s="438">
        <f>IF($I59&lt;192,0,IF($I59&gt;597,0, IF(VLOOKUP($I59,'CIRS Table Info'!$B$6:$J$425,3,FALSE)="Co-Add", 0.5,1) * (400 + IF(VLOOKUP($I59,'CIRS Table Info'!$B$6:$J$425,5,FALSE)="Data",1800,0) + IF(VLOOKUP($I59,'CIRS Table Info'!$B$6:$J$425,7,FALSE)="Data",1800,0) )))</f>
        <v>0</v>
      </c>
      <c r="M59" s="438">
        <f>VLOOKUP($B59,'CIRS Table IDs'!$B$6:$M$1001,12,FALSE)</f>
        <v>0</v>
      </c>
      <c r="N59" s="436" t="str">
        <f t="shared" si="0"/>
        <v/>
      </c>
      <c r="Q59" s="49"/>
      <c r="R59" s="49"/>
      <c r="S59" s="49"/>
      <c r="T59" s="49"/>
    </row>
    <row r="60" spans="1:20" x14ac:dyDescent="0.2">
      <c r="A60" s="21">
        <v>22</v>
      </c>
      <c r="B60" s="45" t="s">
        <v>401</v>
      </c>
      <c r="C60" s="36">
        <v>2016</v>
      </c>
      <c r="D60" s="36">
        <v>334</v>
      </c>
      <c r="E60" s="37">
        <v>0.97884259259259299</v>
      </c>
      <c r="F60" s="36">
        <v>2016</v>
      </c>
      <c r="G60" s="36">
        <v>335</v>
      </c>
      <c r="H60" s="37">
        <v>2.05092592592593E-2</v>
      </c>
      <c r="I60" s="43">
        <v>283</v>
      </c>
      <c r="J60" s="43">
        <v>1</v>
      </c>
      <c r="K60" s="43"/>
      <c r="L60" s="438">
        <f>IF($I60&lt;192,0,IF($I60&gt;597,0, IF(VLOOKUP($I60,'CIRS Table Info'!$B$6:$J$425,3,FALSE)="Co-Add", 0.5,1) * (400 + IF(VLOOKUP($I60,'CIRS Table Info'!$B$6:$J$425,5,FALSE)="Data",1800,0) + IF(VLOOKUP($I60,'CIRS Table Info'!$B$6:$J$425,7,FALSE)="Data",1800,0) )))</f>
        <v>4000</v>
      </c>
      <c r="M60" s="438">
        <f>VLOOKUP($B60,'CIRS Table IDs'!$B$6:$M$1001,12,FALSE)</f>
        <v>4000</v>
      </c>
      <c r="N60" s="436" t="str">
        <f t="shared" si="0"/>
        <v/>
      </c>
      <c r="Q60" s="49"/>
      <c r="R60" s="49"/>
      <c r="S60" s="49"/>
      <c r="T60" s="49"/>
    </row>
    <row r="61" spans="1:20" x14ac:dyDescent="0.2">
      <c r="A61" s="21"/>
      <c r="B61" s="45" t="s">
        <v>62</v>
      </c>
      <c r="C61" s="40">
        <v>2016</v>
      </c>
      <c r="D61" s="40">
        <f>IF(H60&gt;=$E463,G60,G60-1)</f>
        <v>335</v>
      </c>
      <c r="E61" s="37">
        <f>IF(H60-$E463&gt;0,H60-$E463,H60-$E463+$E469)</f>
        <v>1.9814814814814855E-2</v>
      </c>
      <c r="F61" s="40">
        <v>2016</v>
      </c>
      <c r="G61" s="40">
        <v>335</v>
      </c>
      <c r="H61" s="37">
        <v>2.05092592592593E-2</v>
      </c>
      <c r="I61" s="43">
        <v>600</v>
      </c>
      <c r="J61" s="43">
        <f>IF(I61=50,10,1)</f>
        <v>1</v>
      </c>
      <c r="K61" s="43"/>
      <c r="L61" s="438">
        <f>IF($I61&lt;192,0,IF($I61&gt;597,0, IF(VLOOKUP($I61,'CIRS Table Info'!$B$6:$J$425,3,FALSE)="Co-Add", 0.5,1) * (400 + IF(VLOOKUP($I61,'CIRS Table Info'!$B$6:$J$425,5,FALSE)="Data",1800,0) + IF(VLOOKUP($I61,'CIRS Table Info'!$B$6:$J$425,7,FALSE)="Data",1800,0) )))</f>
        <v>0</v>
      </c>
      <c r="M61" s="438">
        <f>VLOOKUP($B61,'CIRS Table IDs'!$B$6:$M$1001,12,FALSE)</f>
        <v>0</v>
      </c>
      <c r="N61" s="436" t="str">
        <f t="shared" si="0"/>
        <v/>
      </c>
      <c r="Q61" s="49"/>
      <c r="R61" s="49"/>
      <c r="S61" s="49"/>
      <c r="T61" s="49"/>
    </row>
    <row r="62" spans="1:20" x14ac:dyDescent="0.2">
      <c r="A62" s="21">
        <v>23</v>
      </c>
      <c r="B62" s="45" t="s">
        <v>402</v>
      </c>
      <c r="C62" s="36">
        <v>2016</v>
      </c>
      <c r="D62" s="36">
        <v>335</v>
      </c>
      <c r="E62" s="37">
        <v>2.05092592592593E-2</v>
      </c>
      <c r="F62" s="36">
        <v>2016</v>
      </c>
      <c r="G62" s="36">
        <v>335</v>
      </c>
      <c r="H62" s="37">
        <v>0.13509259259259301</v>
      </c>
      <c r="I62" s="43">
        <v>461</v>
      </c>
      <c r="J62" s="43">
        <v>1</v>
      </c>
      <c r="K62" s="43"/>
      <c r="L62" s="438">
        <f>IF($I62&lt;192,0,IF($I62&gt;597,0, IF(VLOOKUP($I62,'CIRS Table Info'!$B$6:$J$425,3,FALSE)="Co-Add", 0.5,1) * (400 + IF(VLOOKUP($I62,'CIRS Table Info'!$B$6:$J$425,5,FALSE)="Data",1800,0) + IF(VLOOKUP($I62,'CIRS Table Info'!$B$6:$J$425,7,FALSE)="Data",1800,0) )))</f>
        <v>2000</v>
      </c>
      <c r="M62" s="438">
        <f>VLOOKUP($B62,'CIRS Table IDs'!$B$6:$M$1001,12,FALSE)</f>
        <v>1900</v>
      </c>
      <c r="N62" s="436" t="str">
        <f t="shared" si="0"/>
        <v>Error</v>
      </c>
      <c r="Q62" s="49"/>
      <c r="R62" s="49"/>
      <c r="S62" s="49"/>
      <c r="T62" s="49"/>
    </row>
    <row r="63" spans="1:20" x14ac:dyDescent="0.2">
      <c r="A63" s="21"/>
      <c r="B63" s="45" t="s">
        <v>63</v>
      </c>
      <c r="C63" s="40">
        <v>2016</v>
      </c>
      <c r="D63" s="40">
        <f>IF(H62&gt;=$E463,G62,G62-1)</f>
        <v>335</v>
      </c>
      <c r="E63" s="37">
        <f>IF(H62-$E463&gt;0,H62-$E463,H62-$E463+$E469)</f>
        <v>0.13439814814814857</v>
      </c>
      <c r="F63" s="40">
        <v>2016</v>
      </c>
      <c r="G63" s="40">
        <v>335</v>
      </c>
      <c r="H63" s="37">
        <v>0.13509259259259301</v>
      </c>
      <c r="I63" s="43">
        <v>606</v>
      </c>
      <c r="J63" s="43">
        <f>IF(I63=50,10,1)</f>
        <v>1</v>
      </c>
      <c r="K63" s="43"/>
      <c r="L63" s="438">
        <f>IF($I63&lt;192,0,IF($I63&gt;597,0, IF(VLOOKUP($I63,'CIRS Table Info'!$B$6:$J$425,3,FALSE)="Co-Add", 0.5,1) * (400 + IF(VLOOKUP($I63,'CIRS Table Info'!$B$6:$J$425,5,FALSE)="Data",1800,0) + IF(VLOOKUP($I63,'CIRS Table Info'!$B$6:$J$425,7,FALSE)="Data",1800,0) )))</f>
        <v>0</v>
      </c>
      <c r="M63" s="438">
        <f>VLOOKUP($B63,'CIRS Table IDs'!$B$6:$M$1001,12,FALSE)</f>
        <v>0</v>
      </c>
      <c r="N63" s="436" t="str">
        <f t="shared" si="0"/>
        <v/>
      </c>
      <c r="Q63" s="49"/>
      <c r="R63" s="49"/>
      <c r="S63" s="49"/>
      <c r="T63" s="49"/>
    </row>
    <row r="64" spans="1:20" x14ac:dyDescent="0.2">
      <c r="A64" s="21">
        <v>24</v>
      </c>
      <c r="B64" s="45" t="s">
        <v>404</v>
      </c>
      <c r="C64" s="36">
        <v>2016</v>
      </c>
      <c r="D64" s="36">
        <v>335</v>
      </c>
      <c r="E64" s="37">
        <v>0.13509259259259301</v>
      </c>
      <c r="F64" s="36">
        <v>2016</v>
      </c>
      <c r="G64" s="36">
        <v>335</v>
      </c>
      <c r="H64" s="37">
        <v>0.30175925925925901</v>
      </c>
      <c r="I64" s="43">
        <v>541</v>
      </c>
      <c r="J64" s="43">
        <v>1</v>
      </c>
      <c r="K64" s="43"/>
      <c r="L64" s="438">
        <f>IF($I64&lt;192,0,IF($I64&gt;597,0, IF(VLOOKUP($I64,'CIRS Table Info'!$B$6:$J$425,3,FALSE)="Co-Add", 0.5,1) * (400 + IF(VLOOKUP($I64,'CIRS Table Info'!$B$6:$J$425,5,FALSE)="Data",1800,0) + IF(VLOOKUP($I64,'CIRS Table Info'!$B$6:$J$425,7,FALSE)="Data",1800,0) )))</f>
        <v>4000</v>
      </c>
      <c r="M64" s="438">
        <f>VLOOKUP($B64,'CIRS Table IDs'!$B$6:$M$1001,12,FALSE)</f>
        <v>3600</v>
      </c>
      <c r="N64" s="436" t="str">
        <f t="shared" si="0"/>
        <v>Error</v>
      </c>
      <c r="Q64" s="49"/>
      <c r="R64" s="49"/>
      <c r="S64" s="49"/>
      <c r="T64" s="49"/>
    </row>
    <row r="65" spans="1:20" x14ac:dyDescent="0.2">
      <c r="A65" s="21"/>
      <c r="B65" s="45" t="s">
        <v>64</v>
      </c>
      <c r="C65" s="40">
        <v>2016</v>
      </c>
      <c r="D65" s="40">
        <f>IF(H64&gt;=$E463,G64,G64-1)</f>
        <v>335</v>
      </c>
      <c r="E65" s="37">
        <f>IF(H64-$E463&gt;0,H64-$E463,H64-$E463+$E469)</f>
        <v>0.30106481481481456</v>
      </c>
      <c r="F65" s="40">
        <v>2016</v>
      </c>
      <c r="G65" s="40">
        <v>335</v>
      </c>
      <c r="H65" s="37">
        <v>0.30175925925925901</v>
      </c>
      <c r="I65" s="43">
        <v>606</v>
      </c>
      <c r="J65" s="43">
        <f>IF(I65=50,10,1)</f>
        <v>1</v>
      </c>
      <c r="K65" s="43"/>
      <c r="L65" s="438">
        <f>IF($I65&lt;192,0,IF($I65&gt;597,0, IF(VLOOKUP($I65,'CIRS Table Info'!$B$6:$J$425,3,FALSE)="Co-Add", 0.5,1) * (400 + IF(VLOOKUP($I65,'CIRS Table Info'!$B$6:$J$425,5,FALSE)="Data",1800,0) + IF(VLOOKUP($I65,'CIRS Table Info'!$B$6:$J$425,7,FALSE)="Data",1800,0) )))</f>
        <v>0</v>
      </c>
      <c r="M65" s="438">
        <f>VLOOKUP($B65,'CIRS Table IDs'!$B$6:$M$1001,12,FALSE)</f>
        <v>0</v>
      </c>
      <c r="N65" s="436" t="str">
        <f t="shared" si="0"/>
        <v/>
      </c>
      <c r="Q65" s="49"/>
      <c r="R65" s="49"/>
      <c r="S65" s="49"/>
      <c r="T65" s="49"/>
    </row>
    <row r="66" spans="1:20" x14ac:dyDescent="0.2">
      <c r="A66" s="21">
        <v>25</v>
      </c>
      <c r="B66" s="45" t="s">
        <v>406</v>
      </c>
      <c r="C66" s="36">
        <v>2016</v>
      </c>
      <c r="D66" s="36">
        <v>335</v>
      </c>
      <c r="E66" s="37">
        <v>0.30175925925925901</v>
      </c>
      <c r="F66" s="36">
        <v>2016</v>
      </c>
      <c r="G66" s="36">
        <v>335</v>
      </c>
      <c r="H66" s="37">
        <v>0.46842592592592602</v>
      </c>
      <c r="I66" s="43">
        <v>591</v>
      </c>
      <c r="J66" s="43">
        <v>1</v>
      </c>
      <c r="K66" s="43"/>
      <c r="L66" s="438">
        <f>IF($I66&lt;192,0,IF($I66&gt;597,0, IF(VLOOKUP($I66,'CIRS Table Info'!$B$6:$J$425,3,FALSE)="Co-Add", 0.5,1) * (400 + IF(VLOOKUP($I66,'CIRS Table Info'!$B$6:$J$425,5,FALSE)="Data",1800,0) + IF(VLOOKUP($I66,'CIRS Table Info'!$B$6:$J$425,7,FALSE)="Data",1800,0) )))</f>
        <v>4000</v>
      </c>
      <c r="M66" s="438">
        <f>VLOOKUP($B66,'CIRS Table IDs'!$B$6:$M$1001,12,FALSE)</f>
        <v>4000</v>
      </c>
      <c r="N66" s="436" t="str">
        <f t="shared" si="0"/>
        <v/>
      </c>
      <c r="Q66" s="49"/>
      <c r="R66" s="49"/>
      <c r="S66" s="49"/>
      <c r="T66" s="49"/>
    </row>
    <row r="67" spans="1:20" x14ac:dyDescent="0.2">
      <c r="A67" s="21"/>
      <c r="B67" s="45" t="s">
        <v>65</v>
      </c>
      <c r="C67" s="40">
        <v>2016</v>
      </c>
      <c r="D67" s="40">
        <f>IF(H66&gt;=$E463,G66,G66-1)</f>
        <v>335</v>
      </c>
      <c r="E67" s="37">
        <f>IF(H66-$E463&gt;0,H66-$E463,H66-$E463+$E469)</f>
        <v>0.46773148148148158</v>
      </c>
      <c r="F67" s="40">
        <v>2016</v>
      </c>
      <c r="G67" s="40">
        <v>335</v>
      </c>
      <c r="H67" s="37">
        <v>0.46842592592592602</v>
      </c>
      <c r="I67" s="43">
        <v>602</v>
      </c>
      <c r="J67" s="43">
        <f>IF(I67=50,10,1)</f>
        <v>1</v>
      </c>
      <c r="K67" s="43"/>
      <c r="L67" s="438">
        <f>IF($I67&lt;192,0,IF($I67&gt;597,0, IF(VLOOKUP($I67,'CIRS Table Info'!$B$6:$J$425,3,FALSE)="Co-Add", 0.5,1) * (400 + IF(VLOOKUP($I67,'CIRS Table Info'!$B$6:$J$425,5,FALSE)="Data",1800,0) + IF(VLOOKUP($I67,'CIRS Table Info'!$B$6:$J$425,7,FALSE)="Data",1800,0) )))</f>
        <v>0</v>
      </c>
      <c r="M67" s="438">
        <f>VLOOKUP($B67,'CIRS Table IDs'!$B$6:$M$1001,12,FALSE)</f>
        <v>0</v>
      </c>
      <c r="N67" s="436" t="str">
        <f t="shared" si="0"/>
        <v/>
      </c>
      <c r="Q67" s="49"/>
      <c r="R67" s="49"/>
      <c r="S67" s="49"/>
      <c r="T67" s="49"/>
    </row>
    <row r="68" spans="1:20" x14ac:dyDescent="0.2">
      <c r="A68" s="21">
        <v>26</v>
      </c>
      <c r="B68" s="45" t="s">
        <v>407</v>
      </c>
      <c r="C68" s="36">
        <v>2016</v>
      </c>
      <c r="D68" s="36">
        <v>335</v>
      </c>
      <c r="E68" s="37">
        <v>0.46842592592592602</v>
      </c>
      <c r="F68" s="36">
        <v>2016</v>
      </c>
      <c r="G68" s="36">
        <v>335</v>
      </c>
      <c r="H68" s="37">
        <v>0.74166666666666703</v>
      </c>
      <c r="I68" s="43">
        <v>473</v>
      </c>
      <c r="J68" s="43">
        <v>1</v>
      </c>
      <c r="K68" s="43"/>
      <c r="L68" s="438">
        <f>IF($I68&lt;192,0,IF($I68&gt;597,0, IF(VLOOKUP($I68,'CIRS Table Info'!$B$6:$J$425,3,FALSE)="Co-Add", 0.5,1) * (400 + IF(VLOOKUP($I68,'CIRS Table Info'!$B$6:$J$425,5,FALSE)="Data",1800,0) + IF(VLOOKUP($I68,'CIRS Table Info'!$B$6:$J$425,7,FALSE)="Data",1800,0) )))</f>
        <v>2000</v>
      </c>
      <c r="M68" s="438">
        <f>VLOOKUP($B68,'CIRS Table IDs'!$B$6:$M$1001,12,FALSE)</f>
        <v>1900</v>
      </c>
      <c r="N68" s="436" t="str">
        <f t="shared" si="0"/>
        <v>Error</v>
      </c>
      <c r="Q68" s="49"/>
      <c r="R68" s="49"/>
      <c r="S68" s="49"/>
      <c r="T68" s="49"/>
    </row>
    <row r="69" spans="1:20" x14ac:dyDescent="0.2">
      <c r="A69" s="21"/>
      <c r="B69" s="45" t="s">
        <v>66</v>
      </c>
      <c r="C69" s="40">
        <v>2016</v>
      </c>
      <c r="D69" s="40">
        <f>IF(H68&gt;=$E463,G68,G68-1)</f>
        <v>335</v>
      </c>
      <c r="E69" s="37">
        <f>IF(H68-$E463&gt;0,H68-$E463,H68-$E463+$E469)</f>
        <v>0.74097222222222259</v>
      </c>
      <c r="F69" s="40">
        <v>2016</v>
      </c>
      <c r="G69" s="40">
        <v>335</v>
      </c>
      <c r="H69" s="37">
        <v>0.88402777777777797</v>
      </c>
      <c r="I69" s="43">
        <v>50</v>
      </c>
      <c r="J69" s="43">
        <f>IF(I69=50,10,1)</f>
        <v>10</v>
      </c>
      <c r="K69" s="43"/>
      <c r="L69" s="438">
        <f>IF($I69&lt;192,0,IF($I69&gt;597,0, IF(VLOOKUP($I69,'CIRS Table Info'!$B$6:$J$425,3,FALSE)="Co-Add", 0.5,1) * (400 + IF(VLOOKUP($I69,'CIRS Table Info'!$B$6:$J$425,5,FALSE)="Data",1800,0) + IF(VLOOKUP($I69,'CIRS Table Info'!$B$6:$J$425,7,FALSE)="Data",1800,0) )))</f>
        <v>0</v>
      </c>
      <c r="M69" s="438">
        <f>VLOOKUP($B69,'CIRS Table IDs'!$B$6:$M$1001,12,FALSE)</f>
        <v>0</v>
      </c>
      <c r="N69" s="436" t="str">
        <f t="shared" si="0"/>
        <v/>
      </c>
      <c r="Q69" s="49"/>
      <c r="R69" s="49"/>
      <c r="S69" s="49"/>
      <c r="T69" s="49"/>
    </row>
    <row r="70" spans="1:20" x14ac:dyDescent="0.2">
      <c r="A70" s="21">
        <v>27</v>
      </c>
      <c r="B70" s="45" t="s">
        <v>409</v>
      </c>
      <c r="C70" s="36">
        <v>2016</v>
      </c>
      <c r="D70" s="36">
        <v>335</v>
      </c>
      <c r="E70" s="37">
        <v>0.88402777777777797</v>
      </c>
      <c r="F70" s="36">
        <v>2016</v>
      </c>
      <c r="G70" s="36">
        <v>336</v>
      </c>
      <c r="H70" s="37">
        <v>0.38402777777777802</v>
      </c>
      <c r="I70" s="43">
        <v>776</v>
      </c>
      <c r="J70" s="43">
        <f>IF(I70=50,10,1)</f>
        <v>1</v>
      </c>
      <c r="K70" s="43"/>
      <c r="L70" s="438">
        <f>IF($I70&lt;192,0,IF($I70&gt;597,0, IF(VLOOKUP($I70,'CIRS Table Info'!$B$6:$J$425,3,FALSE)="Co-Add", 0.5,1) * (400 + IF(VLOOKUP($I70,'CIRS Table Info'!$B$6:$J$425,5,FALSE)="Data",1800,0) + IF(VLOOKUP($I70,'CIRS Table Info'!$B$6:$J$425,7,FALSE)="Data",1800,0) )))</f>
        <v>0</v>
      </c>
      <c r="M70" s="438">
        <f>VLOOKUP($B70,'CIRS Table IDs'!$B$6:$M$1001,12,FALSE)</f>
        <v>3000</v>
      </c>
      <c r="N70" s="436" t="str">
        <f t="shared" si="0"/>
        <v/>
      </c>
      <c r="Q70" s="49"/>
      <c r="R70" s="49"/>
      <c r="S70" s="49"/>
      <c r="T70" s="49"/>
    </row>
    <row r="71" spans="1:20" x14ac:dyDescent="0.2">
      <c r="A71" s="21"/>
      <c r="B71" s="45" t="s">
        <v>67</v>
      </c>
      <c r="C71" s="40">
        <v>2016</v>
      </c>
      <c r="D71" s="40">
        <f>IF(H70&gt;=$E463,G70,G70-1)</f>
        <v>336</v>
      </c>
      <c r="E71" s="37">
        <f>IF(H70-$E463&gt;0,H70-$E463,H70-$E463+$E469)</f>
        <v>0.38333333333333358</v>
      </c>
      <c r="F71" s="40">
        <v>2016</v>
      </c>
      <c r="G71" s="40">
        <v>336</v>
      </c>
      <c r="H71" s="37">
        <v>0.41180555555555598</v>
      </c>
      <c r="I71" s="43">
        <v>606</v>
      </c>
      <c r="J71" s="43">
        <f>IF(I71=50,10,1)</f>
        <v>1</v>
      </c>
      <c r="K71" s="43"/>
      <c r="L71" s="438">
        <f>IF($I71&lt;192,0,IF($I71&gt;597,0, IF(VLOOKUP($I71,'CIRS Table Info'!$B$6:$J$425,3,FALSE)="Co-Add", 0.5,1) * (400 + IF(VLOOKUP($I71,'CIRS Table Info'!$B$6:$J$425,5,FALSE)="Data",1800,0) + IF(VLOOKUP($I71,'CIRS Table Info'!$B$6:$J$425,7,FALSE)="Data",1800,0) )))</f>
        <v>0</v>
      </c>
      <c r="M71" s="438">
        <f>VLOOKUP($B71,'CIRS Table IDs'!$B$6:$M$1001,12,FALSE)</f>
        <v>0</v>
      </c>
      <c r="N71" s="436" t="str">
        <f t="shared" si="0"/>
        <v/>
      </c>
      <c r="Q71" s="49"/>
      <c r="R71" s="49"/>
      <c r="S71" s="49"/>
      <c r="T71" s="49"/>
    </row>
    <row r="72" spans="1:20" x14ac:dyDescent="0.2">
      <c r="A72" s="21">
        <v>28</v>
      </c>
      <c r="B72" s="45" t="s">
        <v>410</v>
      </c>
      <c r="C72" s="36">
        <v>2016</v>
      </c>
      <c r="D72" s="36">
        <v>336</v>
      </c>
      <c r="E72" s="37">
        <v>0.41180555555555598</v>
      </c>
      <c r="F72" s="36">
        <f>IF($G72&gt;=$D72,$C72,$C72+1)</f>
        <v>2016</v>
      </c>
      <c r="G72" s="36">
        <f>IF(MOD($C$5,4)&lt;&gt;0,IF($D72+IF($H72&gt;=$E72,0,IF($H72+$E469&gt;=$E72,1,2))&gt;365,1,$D72+IF($H72&gt;=$E72,0,IF($H72+$E469&gt;=$E72,1,2))),IF($D72+IF($H72&gt;=$E72,0,IF($H72+$E469&gt;=$E72,1,2))&gt;366,1,$D72+IF($H72&gt;=$E72,0,IF($H72+$E469&gt;=$E72,1,2))))</f>
        <v>336</v>
      </c>
      <c r="H72" s="37">
        <f>IF(E72 + TIMEVALUE("00:10:00")&gt;=1,E72 + TIMEVALUE("00:10:00")-1,E72 + TIMEVALUE("00:10:00"))</f>
        <v>0.4187500000000004</v>
      </c>
      <c r="I72" s="496">
        <v>297</v>
      </c>
      <c r="J72" s="43">
        <v>1</v>
      </c>
      <c r="K72" s="43"/>
      <c r="L72" s="438">
        <f>IF($I72&lt;192,0,IF($I72&gt;597,0, IF(VLOOKUP($I72,'CIRS Table Info'!$B$6:$J$425,3,FALSE)="Co-Add", 0.5,1) * (400 + IF(VLOOKUP($I72,'CIRS Table Info'!$B$6:$J$425,5,FALSE)="Data",1800,0) + IF(VLOOKUP($I72,'CIRS Table Info'!$B$6:$J$425,7,FALSE)="Data",1800,0) )))</f>
        <v>2000</v>
      </c>
      <c r="M72" s="438">
        <f>VLOOKUP($B72,'CIRS Table IDs'!$B$6:$M$1001,12,FALSE)</f>
        <v>2000</v>
      </c>
      <c r="N72" s="436" t="str">
        <f t="shared" si="0"/>
        <v/>
      </c>
      <c r="Q72" s="49"/>
      <c r="R72" s="49"/>
      <c r="S72" s="49"/>
      <c r="T72" s="49"/>
    </row>
    <row r="73" spans="1:20" x14ac:dyDescent="0.2">
      <c r="A73" s="21"/>
      <c r="B73" s="45" t="s">
        <v>410</v>
      </c>
      <c r="C73" s="36">
        <f>$F72</f>
        <v>2016</v>
      </c>
      <c r="D73" s="36">
        <f>$G72</f>
        <v>336</v>
      </c>
      <c r="E73" s="37">
        <f>IF(E72 + TIMEVALUE("00:10:00")&gt;=1,E72 + TIMEVALUE("00:10:00")-1,E72 + TIMEVALUE("00:10:00"))</f>
        <v>0.4187500000000004</v>
      </c>
      <c r="F73" s="36">
        <f>IF($G73&gt;=$D73,$C73,$C73+1)</f>
        <v>2016</v>
      </c>
      <c r="G73" s="36">
        <f>IF(0.757638888888889 - TIMEVALUE("00:10:00")&gt;=0, 336, 335)</f>
        <v>336</v>
      </c>
      <c r="H73" s="37">
        <f>IF(0.757638888888889 - TIMEVALUE("00:10:00")&gt;=0, 0.757638888888889 - TIMEVALUE("00:10:00"), 0.757638888888889 - TIMEVALUE("00:10:00") +$E469)</f>
        <v>0.75069444444444455</v>
      </c>
      <c r="I73" s="496">
        <v>294</v>
      </c>
      <c r="J73" s="43">
        <v>1</v>
      </c>
      <c r="K73" s="43"/>
      <c r="L73" s="438">
        <f>IF($I73&lt;192,0,IF($I73&gt;597,0, IF(VLOOKUP($I73,'CIRS Table Info'!$B$6:$J$425,3,FALSE)="Co-Add", 0.5,1) * (400 + IF(VLOOKUP($I73,'CIRS Table Info'!$B$6:$J$425,5,FALSE)="Data",1800,0) + IF(VLOOKUP($I73,'CIRS Table Info'!$B$6:$J$425,7,FALSE)="Data",1800,0) )))</f>
        <v>2000</v>
      </c>
      <c r="M73" s="438">
        <f>VLOOKUP($B73,'CIRS Table IDs'!$B$6:$M$1001,12,FALSE)</f>
        <v>2000</v>
      </c>
      <c r="N73" s="436" t="str">
        <f t="shared" si="0"/>
        <v/>
      </c>
      <c r="Q73" s="49"/>
      <c r="R73" s="49"/>
      <c r="S73" s="49"/>
      <c r="T73" s="49"/>
    </row>
    <row r="74" spans="1:20" x14ac:dyDescent="0.2">
      <c r="A74" s="21"/>
      <c r="B74" s="45" t="s">
        <v>410</v>
      </c>
      <c r="C74" s="36">
        <f>$F73</f>
        <v>2016</v>
      </c>
      <c r="D74" s="36">
        <f>$G73</f>
        <v>336</v>
      </c>
      <c r="E74" s="37">
        <f>IF(0.757638888888889 - TIMEVALUE("00:10:00")&gt;=0, 0.757638888888889 - TIMEVALUE("00:10:00"), 0.757638888888889 - TIMEVALUE("00:10:00") +$E469)</f>
        <v>0.75069444444444455</v>
      </c>
      <c r="F74" s="36">
        <f>IF($G74&gt;=$D74,$C74,$C74+1)</f>
        <v>2016</v>
      </c>
      <c r="G74" s="36">
        <v>336</v>
      </c>
      <c r="H74" s="37">
        <v>0.75763888888888897</v>
      </c>
      <c r="I74" s="496">
        <v>297</v>
      </c>
      <c r="J74" s="43">
        <v>1</v>
      </c>
      <c r="K74" s="43"/>
      <c r="L74" s="438">
        <f>IF($I74&lt;192,0,IF($I74&gt;597,0, IF(VLOOKUP($I74,'CIRS Table Info'!$B$6:$J$425,3,FALSE)="Co-Add", 0.5,1) * (400 + IF(VLOOKUP($I74,'CIRS Table Info'!$B$6:$J$425,5,FALSE)="Data",1800,0) + IF(VLOOKUP($I74,'CIRS Table Info'!$B$6:$J$425,7,FALSE)="Data",1800,0) )))</f>
        <v>2000</v>
      </c>
      <c r="M74" s="438">
        <f>VLOOKUP($B74,'CIRS Table IDs'!$B$6:$M$1001,12,FALSE)</f>
        <v>2000</v>
      </c>
      <c r="N74" s="436" t="str">
        <f t="shared" si="0"/>
        <v/>
      </c>
      <c r="Q74" s="49"/>
      <c r="R74" s="49"/>
      <c r="S74" s="49"/>
      <c r="T74" s="49"/>
    </row>
    <row r="75" spans="1:20" x14ac:dyDescent="0.2">
      <c r="A75" s="21"/>
      <c r="B75" s="45" t="s">
        <v>68</v>
      </c>
      <c r="C75" s="36">
        <v>2016</v>
      </c>
      <c r="D75" s="36">
        <f>IF(H74&gt;=$E463,G74,G74-1)</f>
        <v>336</v>
      </c>
      <c r="E75" s="37">
        <f>IF(H74-$E463&gt;0,H74-$E463,H74-$E463+$E469)</f>
        <v>0.75694444444444453</v>
      </c>
      <c r="F75" s="40">
        <v>2016</v>
      </c>
      <c r="G75" s="40">
        <v>336</v>
      </c>
      <c r="H75" s="37">
        <v>0.88958333333333295</v>
      </c>
      <c r="I75" s="43">
        <v>50</v>
      </c>
      <c r="J75" s="43">
        <f>IF(I75=50,10,1)</f>
        <v>10</v>
      </c>
      <c r="K75" s="43"/>
      <c r="L75" s="438">
        <f>IF($I75&lt;192,0,IF($I75&gt;597,0, IF(VLOOKUP($I75,'CIRS Table Info'!$B$6:$J$425,3,FALSE)="Co-Add", 0.5,1) * (400 + IF(VLOOKUP($I75,'CIRS Table Info'!$B$6:$J$425,5,FALSE)="Data",1800,0) + IF(VLOOKUP($I75,'CIRS Table Info'!$B$6:$J$425,7,FALSE)="Data",1800,0) )))</f>
        <v>0</v>
      </c>
      <c r="M75" s="438">
        <f>VLOOKUP($B75,'CIRS Table IDs'!$B$6:$M$1001,12,FALSE)</f>
        <v>0</v>
      </c>
      <c r="N75" s="436" t="str">
        <f t="shared" si="0"/>
        <v/>
      </c>
      <c r="Q75" s="49"/>
      <c r="R75" s="49"/>
      <c r="S75" s="49"/>
      <c r="T75" s="49"/>
    </row>
    <row r="76" spans="1:20" x14ac:dyDescent="0.2">
      <c r="A76" s="21">
        <v>29</v>
      </c>
      <c r="B76" s="45" t="s">
        <v>412</v>
      </c>
      <c r="C76" s="36">
        <v>2016</v>
      </c>
      <c r="D76" s="36">
        <v>336</v>
      </c>
      <c r="E76" s="37">
        <v>0.88958333333333295</v>
      </c>
      <c r="F76" s="36">
        <v>2016</v>
      </c>
      <c r="G76" s="36">
        <v>337</v>
      </c>
      <c r="H76" s="37">
        <v>0.22291666666666701</v>
      </c>
      <c r="I76" s="43">
        <v>778</v>
      </c>
      <c r="J76" s="43">
        <f>IF(I76=50,10,1)</f>
        <v>1</v>
      </c>
      <c r="K76" s="43"/>
      <c r="L76" s="438">
        <f>IF($I76&lt;192,0,IF($I76&gt;597,0, IF(VLOOKUP($I76,'CIRS Table Info'!$B$6:$J$425,3,FALSE)="Co-Add", 0.5,1) * (400 + IF(VLOOKUP($I76,'CIRS Table Info'!$B$6:$J$425,5,FALSE)="Data",1800,0) + IF(VLOOKUP($I76,'CIRS Table Info'!$B$6:$J$425,7,FALSE)="Data",1800,0) )))</f>
        <v>0</v>
      </c>
      <c r="M76" s="438">
        <f>VLOOKUP($B76,'CIRS Table IDs'!$B$6:$M$1001,12,FALSE)</f>
        <v>3000</v>
      </c>
      <c r="N76" s="436" t="str">
        <f t="shared" si="0"/>
        <v/>
      </c>
      <c r="Q76" s="49"/>
      <c r="R76" s="49"/>
      <c r="S76" s="49"/>
      <c r="T76" s="49"/>
    </row>
    <row r="77" spans="1:20" x14ac:dyDescent="0.2">
      <c r="A77" s="21"/>
      <c r="B77" s="45" t="s">
        <v>69</v>
      </c>
      <c r="C77" s="40">
        <v>2016</v>
      </c>
      <c r="D77" s="40">
        <f>IF(H76&gt;=$E463,G76,G76-1)</f>
        <v>337</v>
      </c>
      <c r="E77" s="37">
        <f>IF(H76-$E463&gt;0,H76-$E463,H76-$E463+$E469)</f>
        <v>0.22222222222222257</v>
      </c>
      <c r="F77" s="40">
        <v>2016</v>
      </c>
      <c r="G77" s="40">
        <v>337</v>
      </c>
      <c r="H77" s="37">
        <v>0.250694444444444</v>
      </c>
      <c r="I77" s="43">
        <v>602</v>
      </c>
      <c r="J77" s="43">
        <f>IF(I77=50,10,1)</f>
        <v>1</v>
      </c>
      <c r="K77" s="43"/>
      <c r="L77" s="438">
        <f>IF($I77&lt;192,0,IF($I77&gt;597,0, IF(VLOOKUP($I77,'CIRS Table Info'!$B$6:$J$425,3,FALSE)="Co-Add", 0.5,1) * (400 + IF(VLOOKUP($I77,'CIRS Table Info'!$B$6:$J$425,5,FALSE)="Data",1800,0) + IF(VLOOKUP($I77,'CIRS Table Info'!$B$6:$J$425,7,FALSE)="Data",1800,0) )))</f>
        <v>0</v>
      </c>
      <c r="M77" s="438">
        <f>VLOOKUP($B77,'CIRS Table IDs'!$B$6:$M$1001,12,FALSE)</f>
        <v>0</v>
      </c>
      <c r="N77" s="436" t="str">
        <f t="shared" si="0"/>
        <v/>
      </c>
      <c r="Q77" s="49"/>
      <c r="R77" s="49"/>
      <c r="S77" s="49"/>
      <c r="T77" s="49"/>
    </row>
    <row r="78" spans="1:20" x14ac:dyDescent="0.2">
      <c r="A78" s="21">
        <v>30</v>
      </c>
      <c r="B78" s="45" t="s">
        <v>413</v>
      </c>
      <c r="C78" s="36">
        <v>2016</v>
      </c>
      <c r="D78" s="36">
        <v>337</v>
      </c>
      <c r="E78" s="37">
        <v>0.250694444444444</v>
      </c>
      <c r="F78" s="36">
        <f>IF($G78&gt;=$D78,$C78,$C78+1)</f>
        <v>2016</v>
      </c>
      <c r="G78" s="36">
        <f>IF(MOD($C$5,4)&lt;&gt;0,IF($D78+IF($H78&gt;=$E78,0,IF($H78+$E469&gt;=$E78,1,2))&gt;365,1,$D78+IF($H78&gt;=$E78,0,IF($H78+$E469&gt;=$E78,1,2))),IF($D78+IF($H78&gt;=$E78,0,IF($H78+$E469&gt;=$E78,1,2))&gt;366,1,$D78+IF($H78&gt;=$E78,0,IF($H78+$E469&gt;=$E78,1,2))))</f>
        <v>337</v>
      </c>
      <c r="H78" s="37">
        <f>IF(E78 + TIMEVALUE("00:05:00")&gt;=1,E78 + TIMEVALUE("00:05:00")-1,E78 + TIMEVALUE("00:05:00"))</f>
        <v>0.25416666666666621</v>
      </c>
      <c r="I78" s="496">
        <v>235</v>
      </c>
      <c r="J78" s="43">
        <v>1</v>
      </c>
      <c r="K78" s="43"/>
      <c r="L78" s="438">
        <f>IF($I78&lt;192,0,IF($I78&gt;597,0, IF(VLOOKUP($I78,'CIRS Table Info'!$B$6:$J$425,3,FALSE)="Co-Add", 0.5,1) * (400 + IF(VLOOKUP($I78,'CIRS Table Info'!$B$6:$J$425,5,FALSE)="Data",1800,0) + IF(VLOOKUP($I78,'CIRS Table Info'!$B$6:$J$425,7,FALSE)="Data",1800,0) )))</f>
        <v>4000</v>
      </c>
      <c r="M78" s="438">
        <f>VLOOKUP($B78,'CIRS Table IDs'!$B$6:$M$1001,12,FALSE)</f>
        <v>4000</v>
      </c>
      <c r="N78" s="436" t="str">
        <f t="shared" ref="N78:N141" si="4">IF(L78=M78,"",IF(RIGHT(B78,3)="_SP","",IF(I78&lt;700,"Error","Warning")))</f>
        <v/>
      </c>
      <c r="Q78" s="49"/>
      <c r="R78" s="49"/>
      <c r="S78" s="49"/>
      <c r="T78" s="49"/>
    </row>
    <row r="79" spans="1:20" x14ac:dyDescent="0.2">
      <c r="A79" s="21"/>
      <c r="B79" s="45" t="s">
        <v>413</v>
      </c>
      <c r="C79" s="36">
        <f>$F78</f>
        <v>2016</v>
      </c>
      <c r="D79" s="36">
        <f>$G78</f>
        <v>337</v>
      </c>
      <c r="E79" s="37">
        <f>IF(E78 + TIMEVALUE("00:05:00")&gt;=1,E78 + TIMEVALUE("00:05:00")-1,E78 + TIMEVALUE("00:05:00"))</f>
        <v>0.25416666666666621</v>
      </c>
      <c r="F79" s="36">
        <f>IF($G79&gt;=$D79,$C79,$C79+1)</f>
        <v>2016</v>
      </c>
      <c r="G79" s="36">
        <f>IF(0.73125 - TIMEVALUE("00:05:00")&gt;=0, 337, 336)</f>
        <v>337</v>
      </c>
      <c r="H79" s="37">
        <f>IF(0.73125 - TIMEVALUE("00:05:00")&gt;=0, 0.73125 - TIMEVALUE("00:05:00"), 0.73125 - TIMEVALUE("00:05:00") +$E469)</f>
        <v>0.72777777777777775</v>
      </c>
      <c r="I79" s="496">
        <v>232</v>
      </c>
      <c r="J79" s="43">
        <v>1</v>
      </c>
      <c r="K79" s="43"/>
      <c r="L79" s="438">
        <f>IF($I79&lt;192,0,IF($I79&gt;597,0, IF(VLOOKUP($I79,'CIRS Table Info'!$B$6:$J$425,3,FALSE)="Co-Add", 0.5,1) * (400 + IF(VLOOKUP($I79,'CIRS Table Info'!$B$6:$J$425,5,FALSE)="Data",1800,0) + IF(VLOOKUP($I79,'CIRS Table Info'!$B$6:$J$425,7,FALSE)="Data",1800,0) )))</f>
        <v>4000</v>
      </c>
      <c r="M79" s="438">
        <f>VLOOKUP($B79,'CIRS Table IDs'!$B$6:$M$1001,12,FALSE)</f>
        <v>4000</v>
      </c>
      <c r="N79" s="436" t="str">
        <f t="shared" si="4"/>
        <v/>
      </c>
      <c r="Q79" s="49"/>
      <c r="R79" s="49"/>
      <c r="S79" s="49"/>
      <c r="T79" s="49"/>
    </row>
    <row r="80" spans="1:20" x14ac:dyDescent="0.2">
      <c r="A80" s="21"/>
      <c r="B80" s="45" t="s">
        <v>413</v>
      </c>
      <c r="C80" s="36">
        <f>$F79</f>
        <v>2016</v>
      </c>
      <c r="D80" s="36">
        <f>$G79</f>
        <v>337</v>
      </c>
      <c r="E80" s="37">
        <f>IF(0.73125 - TIMEVALUE("00:05:00")&gt;=0, 0.73125 - TIMEVALUE("00:05:00"), 0.73125 - TIMEVALUE("00:05:00") +$E469)</f>
        <v>0.72777777777777775</v>
      </c>
      <c r="F80" s="36">
        <f>IF($G80&gt;=$D80,$C80,$C80+1)</f>
        <v>2016</v>
      </c>
      <c r="G80" s="36">
        <v>337</v>
      </c>
      <c r="H80" s="37">
        <v>0.73124999999999996</v>
      </c>
      <c r="I80" s="496">
        <v>235</v>
      </c>
      <c r="J80" s="43">
        <v>1</v>
      </c>
      <c r="K80" s="43"/>
      <c r="L80" s="438">
        <f>IF($I80&lt;192,0,IF($I80&gt;597,0, IF(VLOOKUP($I80,'CIRS Table Info'!$B$6:$J$425,3,FALSE)="Co-Add", 0.5,1) * (400 + IF(VLOOKUP($I80,'CIRS Table Info'!$B$6:$J$425,5,FALSE)="Data",1800,0) + IF(VLOOKUP($I80,'CIRS Table Info'!$B$6:$J$425,7,FALSE)="Data",1800,0) )))</f>
        <v>4000</v>
      </c>
      <c r="M80" s="438">
        <f>VLOOKUP($B80,'CIRS Table IDs'!$B$6:$M$1001,12,FALSE)</f>
        <v>4000</v>
      </c>
      <c r="N80" s="436" t="str">
        <f t="shared" si="4"/>
        <v/>
      </c>
      <c r="Q80" s="49"/>
      <c r="R80" s="49"/>
      <c r="S80" s="49"/>
      <c r="T80" s="49"/>
    </row>
    <row r="81" spans="1:20" x14ac:dyDescent="0.2">
      <c r="A81" s="21"/>
      <c r="B81" s="45" t="s">
        <v>70</v>
      </c>
      <c r="C81" s="36">
        <v>2016</v>
      </c>
      <c r="D81" s="36">
        <f>IF(H80&gt;=$E463,G80,G80-1)</f>
        <v>337</v>
      </c>
      <c r="E81" s="37">
        <f>IF(H80-$E463&gt;0,H80-$E463,H80-$E463+$E469)</f>
        <v>0.73055555555555551</v>
      </c>
      <c r="F81" s="40">
        <v>2016</v>
      </c>
      <c r="G81" s="40">
        <v>337</v>
      </c>
      <c r="H81" s="37">
        <v>0.73124999999999996</v>
      </c>
      <c r="I81" s="43">
        <v>602</v>
      </c>
      <c r="J81" s="43">
        <f>IF(I81=50,10,1)</f>
        <v>1</v>
      </c>
      <c r="K81" s="43"/>
      <c r="L81" s="438">
        <f>IF($I81&lt;192,0,IF($I81&gt;597,0, IF(VLOOKUP($I81,'CIRS Table Info'!$B$6:$J$425,3,FALSE)="Co-Add", 0.5,1) * (400 + IF(VLOOKUP($I81,'CIRS Table Info'!$B$6:$J$425,5,FALSE)="Data",1800,0) + IF(VLOOKUP($I81,'CIRS Table Info'!$B$6:$J$425,7,FALSE)="Data",1800,0) )))</f>
        <v>0</v>
      </c>
      <c r="M81" s="438">
        <f>VLOOKUP($B81,'CIRS Table IDs'!$B$6:$M$1001,12,FALSE)</f>
        <v>0</v>
      </c>
      <c r="N81" s="436" t="str">
        <f t="shared" si="4"/>
        <v/>
      </c>
      <c r="Q81" s="49"/>
      <c r="R81" s="49"/>
      <c r="S81" s="49"/>
      <c r="T81" s="49"/>
    </row>
    <row r="82" spans="1:20" x14ac:dyDescent="0.2">
      <c r="A82" s="21">
        <v>31</v>
      </c>
      <c r="B82" s="45" t="s">
        <v>415</v>
      </c>
      <c r="C82" s="36">
        <v>2016</v>
      </c>
      <c r="D82" s="36">
        <v>337</v>
      </c>
      <c r="E82" s="37">
        <v>0.73124999999999996</v>
      </c>
      <c r="F82" s="36">
        <v>2016</v>
      </c>
      <c r="G82" s="36">
        <v>337</v>
      </c>
      <c r="H82" s="37">
        <v>0.93958333333333299</v>
      </c>
      <c r="I82" s="43">
        <v>572</v>
      </c>
      <c r="J82" s="43">
        <v>1</v>
      </c>
      <c r="K82" s="43"/>
      <c r="L82" s="438">
        <f>IF($I82&lt;192,0,IF($I82&gt;597,0, IF(VLOOKUP($I82,'CIRS Table Info'!$B$6:$J$425,3,FALSE)="Co-Add", 0.5,1) * (400 + IF(VLOOKUP($I82,'CIRS Table Info'!$B$6:$J$425,5,FALSE)="Data",1800,0) + IF(VLOOKUP($I82,'CIRS Table Info'!$B$6:$J$425,7,FALSE)="Data",1800,0) )))</f>
        <v>2000</v>
      </c>
      <c r="M82" s="438">
        <f>VLOOKUP($B82,'CIRS Table IDs'!$B$6:$M$1001,12,FALSE)</f>
        <v>2000</v>
      </c>
      <c r="N82" s="436" t="str">
        <f t="shared" si="4"/>
        <v/>
      </c>
      <c r="Q82" s="49"/>
      <c r="R82" s="49"/>
      <c r="S82" s="49"/>
      <c r="T82" s="49"/>
    </row>
    <row r="83" spans="1:20" x14ac:dyDescent="0.2">
      <c r="A83" s="21"/>
      <c r="B83" s="45" t="s">
        <v>71</v>
      </c>
      <c r="C83" s="40">
        <v>2016</v>
      </c>
      <c r="D83" s="40">
        <f>IF(H82&gt;=$E463,G82,G82-1)</f>
        <v>337</v>
      </c>
      <c r="E83" s="37">
        <f>IF(H82-$E463&gt;0,H82-$E463,H82-$E463+$E469)</f>
        <v>0.93888888888888855</v>
      </c>
      <c r="F83" s="40">
        <v>2016</v>
      </c>
      <c r="G83" s="40">
        <v>338</v>
      </c>
      <c r="H83" s="37">
        <v>0.21736111111111101</v>
      </c>
      <c r="I83" s="43">
        <v>50</v>
      </c>
      <c r="J83" s="43">
        <f>IF(I83=50,10,1)</f>
        <v>10</v>
      </c>
      <c r="K83" s="43"/>
      <c r="L83" s="438">
        <f>IF($I83&lt;192,0,IF($I83&gt;597,0, IF(VLOOKUP($I83,'CIRS Table Info'!$B$6:$J$425,3,FALSE)="Co-Add", 0.5,1) * (400 + IF(VLOOKUP($I83,'CIRS Table Info'!$B$6:$J$425,5,FALSE)="Data",1800,0) + IF(VLOOKUP($I83,'CIRS Table Info'!$B$6:$J$425,7,FALSE)="Data",1800,0) )))</f>
        <v>0</v>
      </c>
      <c r="M83" s="438">
        <f>VLOOKUP($B83,'CIRS Table IDs'!$B$6:$M$1001,12,FALSE)</f>
        <v>0</v>
      </c>
      <c r="N83" s="436" t="str">
        <f t="shared" si="4"/>
        <v/>
      </c>
      <c r="Q83" s="49"/>
      <c r="R83" s="49"/>
      <c r="S83" s="49"/>
      <c r="T83" s="49"/>
    </row>
    <row r="84" spans="1:20" x14ac:dyDescent="0.2">
      <c r="A84" s="21">
        <v>32</v>
      </c>
      <c r="B84" s="45" t="s">
        <v>416</v>
      </c>
      <c r="C84" s="36">
        <v>2016</v>
      </c>
      <c r="D84" s="36">
        <v>338</v>
      </c>
      <c r="E84" s="37">
        <v>0.21736111111111101</v>
      </c>
      <c r="F84" s="36">
        <v>2016</v>
      </c>
      <c r="G84" s="36">
        <v>338</v>
      </c>
      <c r="H84" s="37">
        <v>0.62361111111111101</v>
      </c>
      <c r="I84" s="43">
        <v>781</v>
      </c>
      <c r="J84" s="43">
        <f>IF(I84=50,10,1)</f>
        <v>1</v>
      </c>
      <c r="K84" s="43"/>
      <c r="L84" s="438">
        <f>IF($I84&lt;192,0,IF($I84&gt;597,0, IF(VLOOKUP($I84,'CIRS Table Info'!$B$6:$J$425,3,FALSE)="Co-Add", 0.5,1) * (400 + IF(VLOOKUP($I84,'CIRS Table Info'!$B$6:$J$425,5,FALSE)="Data",1800,0) + IF(VLOOKUP($I84,'CIRS Table Info'!$B$6:$J$425,7,FALSE)="Data",1800,0) )))</f>
        <v>0</v>
      </c>
      <c r="M84" s="438">
        <f>VLOOKUP($B84,'CIRS Table IDs'!$B$6:$M$1001,12,FALSE)</f>
        <v>2000</v>
      </c>
      <c r="N84" s="436" t="str">
        <f t="shared" si="4"/>
        <v/>
      </c>
      <c r="Q84" s="49"/>
      <c r="R84" s="49"/>
      <c r="S84" s="49"/>
      <c r="T84" s="49"/>
    </row>
    <row r="85" spans="1:20" x14ac:dyDescent="0.2">
      <c r="A85" s="21"/>
      <c r="B85" s="45" t="s">
        <v>72</v>
      </c>
      <c r="C85" s="40">
        <v>2016</v>
      </c>
      <c r="D85" s="40">
        <f>IF(H84&gt;=$E463,G84,G84-1)</f>
        <v>338</v>
      </c>
      <c r="E85" s="37">
        <f>IF(H84-$E463&gt;0,H84-$E463,H84-$E463+$E469)</f>
        <v>0.62291666666666656</v>
      </c>
      <c r="F85" s="40">
        <v>2016</v>
      </c>
      <c r="G85" s="40">
        <v>338</v>
      </c>
      <c r="H85" s="37">
        <v>0.65138888888888902</v>
      </c>
      <c r="I85" s="43">
        <v>602</v>
      </c>
      <c r="J85" s="43">
        <f>IF(I85=50,10,1)</f>
        <v>1</v>
      </c>
      <c r="K85" s="43"/>
      <c r="L85" s="438">
        <f>IF($I85&lt;192,0,IF($I85&gt;597,0, IF(VLOOKUP($I85,'CIRS Table Info'!$B$6:$J$425,3,FALSE)="Co-Add", 0.5,1) * (400 + IF(VLOOKUP($I85,'CIRS Table Info'!$B$6:$J$425,5,FALSE)="Data",1800,0) + IF(VLOOKUP($I85,'CIRS Table Info'!$B$6:$J$425,7,FALSE)="Data",1800,0) )))</f>
        <v>0</v>
      </c>
      <c r="M85" s="438">
        <f>VLOOKUP($B85,'CIRS Table IDs'!$B$6:$M$1001,12,FALSE)</f>
        <v>0</v>
      </c>
      <c r="N85" s="436" t="str">
        <f t="shared" si="4"/>
        <v/>
      </c>
      <c r="Q85" s="49"/>
      <c r="R85" s="49"/>
      <c r="S85" s="49"/>
      <c r="T85" s="49"/>
    </row>
    <row r="86" spans="1:20" x14ac:dyDescent="0.2">
      <c r="A86" s="21">
        <v>33</v>
      </c>
      <c r="B86" s="45" t="s">
        <v>417</v>
      </c>
      <c r="C86" s="36">
        <v>2016</v>
      </c>
      <c r="D86" s="36">
        <v>338</v>
      </c>
      <c r="E86" s="37">
        <v>0.65138888888888902</v>
      </c>
      <c r="F86" s="36">
        <v>2016</v>
      </c>
      <c r="G86" s="36">
        <v>339</v>
      </c>
      <c r="H86" s="37">
        <v>2.6388888888888899E-2</v>
      </c>
      <c r="I86" s="43">
        <v>572</v>
      </c>
      <c r="J86" s="43">
        <v>2</v>
      </c>
      <c r="K86" s="43"/>
      <c r="L86" s="438">
        <f>IF($I86&lt;192,0,IF($I86&gt;597,0, IF(VLOOKUP($I86,'CIRS Table Info'!$B$6:$J$425,3,FALSE)="Co-Add", 0.5,1) * (400 + IF(VLOOKUP($I86,'CIRS Table Info'!$B$6:$J$425,5,FALSE)="Data",1800,0) + IF(VLOOKUP($I86,'CIRS Table Info'!$B$6:$J$425,7,FALSE)="Data",1800,0) )))</f>
        <v>2000</v>
      </c>
      <c r="M86" s="438">
        <f>VLOOKUP($B86,'CIRS Table IDs'!$B$6:$M$1001,12,FALSE)</f>
        <v>2000</v>
      </c>
      <c r="N86" s="436" t="str">
        <f t="shared" si="4"/>
        <v/>
      </c>
      <c r="Q86" s="49"/>
      <c r="R86" s="49"/>
      <c r="S86" s="49"/>
      <c r="T86" s="49"/>
    </row>
    <row r="87" spans="1:20" x14ac:dyDescent="0.2">
      <c r="A87" s="21"/>
      <c r="B87" s="45" t="s">
        <v>73</v>
      </c>
      <c r="C87" s="40">
        <v>2016</v>
      </c>
      <c r="D87" s="40">
        <f>IF(H86&gt;=$E463,G86,G86-1)</f>
        <v>339</v>
      </c>
      <c r="E87" s="37">
        <f>IF(H86-$E463&gt;0,H86-$E463,H86-$E463+$E469)</f>
        <v>2.5694444444444454E-2</v>
      </c>
      <c r="F87" s="40">
        <v>2016</v>
      </c>
      <c r="G87" s="40">
        <v>339</v>
      </c>
      <c r="H87" s="37">
        <v>0.42569444444444399</v>
      </c>
      <c r="I87" s="43">
        <v>50</v>
      </c>
      <c r="J87" s="43">
        <f t="shared" ref="J87:J93" si="5">IF(I87=50,10,1)</f>
        <v>10</v>
      </c>
      <c r="K87" s="43"/>
      <c r="L87" s="438">
        <f>IF($I87&lt;192,0,IF($I87&gt;597,0, IF(VLOOKUP($I87,'CIRS Table Info'!$B$6:$J$425,3,FALSE)="Co-Add", 0.5,1) * (400 + IF(VLOOKUP($I87,'CIRS Table Info'!$B$6:$J$425,5,FALSE)="Data",1800,0) + IF(VLOOKUP($I87,'CIRS Table Info'!$B$6:$J$425,7,FALSE)="Data",1800,0) )))</f>
        <v>0</v>
      </c>
      <c r="M87" s="438">
        <f>VLOOKUP($B87,'CIRS Table IDs'!$B$6:$M$1001,12,FALSE)</f>
        <v>0</v>
      </c>
      <c r="N87" s="436" t="str">
        <f t="shared" si="4"/>
        <v/>
      </c>
      <c r="Q87" s="49"/>
      <c r="R87" s="49"/>
      <c r="S87" s="49"/>
      <c r="T87" s="49"/>
    </row>
    <row r="88" spans="1:20" x14ac:dyDescent="0.2">
      <c r="A88" s="21">
        <v>34</v>
      </c>
      <c r="B88" s="45" t="s">
        <v>418</v>
      </c>
      <c r="C88" s="36">
        <v>2016</v>
      </c>
      <c r="D88" s="36">
        <v>339</v>
      </c>
      <c r="E88" s="37">
        <v>0.42569444444444399</v>
      </c>
      <c r="F88" s="36">
        <v>2016</v>
      </c>
      <c r="G88" s="36">
        <v>339</v>
      </c>
      <c r="H88" s="37">
        <v>0.62361111111111101</v>
      </c>
      <c r="I88" s="43">
        <v>783</v>
      </c>
      <c r="J88" s="43">
        <f t="shared" si="5"/>
        <v>1</v>
      </c>
      <c r="K88" s="43"/>
      <c r="L88" s="438">
        <f>IF($I88&lt;192,0,IF($I88&gt;597,0, IF(VLOOKUP($I88,'CIRS Table Info'!$B$6:$J$425,3,FALSE)="Co-Add", 0.5,1) * (400 + IF(VLOOKUP($I88,'CIRS Table Info'!$B$6:$J$425,5,FALSE)="Data",1800,0) + IF(VLOOKUP($I88,'CIRS Table Info'!$B$6:$J$425,7,FALSE)="Data",1800,0) )))</f>
        <v>0</v>
      </c>
      <c r="M88" s="438">
        <f>VLOOKUP($B88,'CIRS Table IDs'!$B$6:$M$1001,12,FALSE)</f>
        <v>3000</v>
      </c>
      <c r="N88" s="436" t="str">
        <f t="shared" si="4"/>
        <v/>
      </c>
      <c r="Q88" s="49"/>
      <c r="R88" s="49"/>
      <c r="S88" s="49"/>
      <c r="T88" s="49"/>
    </row>
    <row r="89" spans="1:20" x14ac:dyDescent="0.2">
      <c r="A89" s="21"/>
      <c r="B89" s="45" t="s">
        <v>74</v>
      </c>
      <c r="C89" s="40">
        <v>2016</v>
      </c>
      <c r="D89" s="40">
        <f>IF(H88&gt;=$E463,G88,G88-1)</f>
        <v>339</v>
      </c>
      <c r="E89" s="37">
        <f>IF(H88-$E463&gt;0,H88-$E463,H88-$E463+$E469)</f>
        <v>0.62291666666666656</v>
      </c>
      <c r="F89" s="40">
        <v>2016</v>
      </c>
      <c r="G89" s="40">
        <v>339</v>
      </c>
      <c r="H89" s="37">
        <v>0.62361111111111101</v>
      </c>
      <c r="I89" s="43">
        <v>600</v>
      </c>
      <c r="J89" s="43">
        <f t="shared" si="5"/>
        <v>1</v>
      </c>
      <c r="K89" s="43"/>
      <c r="L89" s="438">
        <f>IF($I89&lt;192,0,IF($I89&gt;597,0, IF(VLOOKUP($I89,'CIRS Table Info'!$B$6:$J$425,3,FALSE)="Co-Add", 0.5,1) * (400 + IF(VLOOKUP($I89,'CIRS Table Info'!$B$6:$J$425,5,FALSE)="Data",1800,0) + IF(VLOOKUP($I89,'CIRS Table Info'!$B$6:$J$425,7,FALSE)="Data",1800,0) )))</f>
        <v>0</v>
      </c>
      <c r="M89" s="438">
        <f>VLOOKUP($B89,'CIRS Table IDs'!$B$6:$M$1001,12,FALSE)</f>
        <v>0</v>
      </c>
      <c r="N89" s="436" t="str">
        <f t="shared" si="4"/>
        <v/>
      </c>
      <c r="Q89" s="49"/>
      <c r="R89" s="49"/>
      <c r="S89" s="49"/>
      <c r="T89" s="49"/>
    </row>
    <row r="90" spans="1:20" x14ac:dyDescent="0.2">
      <c r="A90" s="21">
        <v>35</v>
      </c>
      <c r="B90" s="45" t="s">
        <v>419</v>
      </c>
      <c r="C90" s="36">
        <v>2016</v>
      </c>
      <c r="D90" s="36">
        <v>339</v>
      </c>
      <c r="E90" s="37">
        <v>0.62361111111111101</v>
      </c>
      <c r="F90" s="36">
        <v>2016</v>
      </c>
      <c r="G90" s="36">
        <v>339</v>
      </c>
      <c r="H90" s="37">
        <v>0.80069444444444404</v>
      </c>
      <c r="I90" s="43">
        <v>784</v>
      </c>
      <c r="J90" s="43">
        <f t="shared" si="5"/>
        <v>1</v>
      </c>
      <c r="K90" s="43"/>
      <c r="L90" s="438">
        <f>IF($I90&lt;192,0,IF($I90&gt;597,0, IF(VLOOKUP($I90,'CIRS Table Info'!$B$6:$J$425,3,FALSE)="Co-Add", 0.5,1) * (400 + IF(VLOOKUP($I90,'CIRS Table Info'!$B$6:$J$425,5,FALSE)="Data",1800,0) + IF(VLOOKUP($I90,'CIRS Table Info'!$B$6:$J$425,7,FALSE)="Data",1800,0) )))</f>
        <v>0</v>
      </c>
      <c r="M90" s="438">
        <f>VLOOKUP($B90,'CIRS Table IDs'!$B$6:$M$1001,12,FALSE)</f>
        <v>4000</v>
      </c>
      <c r="N90" s="436" t="str">
        <f t="shared" si="4"/>
        <v>Warning</v>
      </c>
      <c r="Q90" s="49"/>
      <c r="R90" s="49"/>
      <c r="S90" s="49"/>
      <c r="T90" s="49"/>
    </row>
    <row r="91" spans="1:20" x14ac:dyDescent="0.2">
      <c r="A91" s="21"/>
      <c r="B91" s="45" t="s">
        <v>75</v>
      </c>
      <c r="C91" s="40">
        <v>2016</v>
      </c>
      <c r="D91" s="40">
        <f>IF(H90&gt;=$E463,G90,G90-1)</f>
        <v>339</v>
      </c>
      <c r="E91" s="37">
        <f>IF(H90-$E463&gt;0,H90-$E463,H90-$E463+$E469)</f>
        <v>0.7999999999999996</v>
      </c>
      <c r="F91" s="40">
        <v>2016</v>
      </c>
      <c r="G91" s="40">
        <v>339</v>
      </c>
      <c r="H91" s="37">
        <v>0.84236111111111101</v>
      </c>
      <c r="I91" s="43">
        <v>50</v>
      </c>
      <c r="J91" s="43">
        <f t="shared" si="5"/>
        <v>10</v>
      </c>
      <c r="K91" s="43"/>
      <c r="L91" s="438">
        <f>IF($I91&lt;192,0,IF($I91&gt;597,0, IF(VLOOKUP($I91,'CIRS Table Info'!$B$6:$J$425,3,FALSE)="Co-Add", 0.5,1) * (400 + IF(VLOOKUP($I91,'CIRS Table Info'!$B$6:$J$425,5,FALSE)="Data",1800,0) + IF(VLOOKUP($I91,'CIRS Table Info'!$B$6:$J$425,7,FALSE)="Data",1800,0) )))</f>
        <v>0</v>
      </c>
      <c r="M91" s="438">
        <f>VLOOKUP($B91,'CIRS Table IDs'!$B$6:$M$1001,12,FALSE)</f>
        <v>0</v>
      </c>
      <c r="N91" s="436" t="str">
        <f t="shared" si="4"/>
        <v/>
      </c>
      <c r="Q91" s="49"/>
      <c r="R91" s="49"/>
      <c r="S91" s="49"/>
      <c r="T91" s="49"/>
    </row>
    <row r="92" spans="1:20" x14ac:dyDescent="0.2">
      <c r="A92" s="21">
        <v>36</v>
      </c>
      <c r="B92" s="45" t="s">
        <v>422</v>
      </c>
      <c r="C92" s="36">
        <v>2016</v>
      </c>
      <c r="D92" s="36">
        <v>339</v>
      </c>
      <c r="E92" s="37">
        <v>0.84236111111111101</v>
      </c>
      <c r="F92" s="36">
        <v>2016</v>
      </c>
      <c r="G92" s="36">
        <v>340</v>
      </c>
      <c r="H92" s="37">
        <v>0.17569444444444399</v>
      </c>
      <c r="I92" s="43">
        <v>785</v>
      </c>
      <c r="J92" s="43">
        <f t="shared" si="5"/>
        <v>1</v>
      </c>
      <c r="K92" s="43"/>
      <c r="L92" s="438">
        <f>IF($I92&lt;192,0,IF($I92&gt;597,0, IF(VLOOKUP($I92,'CIRS Table Info'!$B$6:$J$425,3,FALSE)="Co-Add", 0.5,1) * (400 + IF(VLOOKUP($I92,'CIRS Table Info'!$B$6:$J$425,5,FALSE)="Data",1800,0) + IF(VLOOKUP($I92,'CIRS Table Info'!$B$6:$J$425,7,FALSE)="Data",1800,0) )))</f>
        <v>0</v>
      </c>
      <c r="M92" s="438">
        <f>VLOOKUP($B92,'CIRS Table IDs'!$B$6:$M$1001,12,FALSE)</f>
        <v>1500</v>
      </c>
      <c r="N92" s="436" t="str">
        <f t="shared" si="4"/>
        <v/>
      </c>
      <c r="Q92" s="49"/>
      <c r="R92" s="49"/>
      <c r="S92" s="49"/>
      <c r="T92" s="49"/>
    </row>
    <row r="93" spans="1:20" x14ac:dyDescent="0.2">
      <c r="A93" s="21"/>
      <c r="B93" s="45" t="s">
        <v>76</v>
      </c>
      <c r="C93" s="40">
        <v>2016</v>
      </c>
      <c r="D93" s="40">
        <f>IF(H92&gt;=$E463,G92,G92-1)</f>
        <v>340</v>
      </c>
      <c r="E93" s="37">
        <f>IF(H92-$E463&gt;0,H92-$E463,H92-$E463+$E469)</f>
        <v>0.17499999999999954</v>
      </c>
      <c r="F93" s="40">
        <v>2016</v>
      </c>
      <c r="G93" s="40">
        <v>340</v>
      </c>
      <c r="H93" s="37">
        <v>0.54722222222222205</v>
      </c>
      <c r="I93" s="43">
        <v>600</v>
      </c>
      <c r="J93" s="43">
        <f t="shared" si="5"/>
        <v>1</v>
      </c>
      <c r="K93" s="43"/>
      <c r="L93" s="438">
        <f>IF($I93&lt;192,0,IF($I93&gt;597,0, IF(VLOOKUP($I93,'CIRS Table Info'!$B$6:$J$425,3,FALSE)="Co-Add", 0.5,1) * (400 + IF(VLOOKUP($I93,'CIRS Table Info'!$B$6:$J$425,5,FALSE)="Data",1800,0) + IF(VLOOKUP($I93,'CIRS Table Info'!$B$6:$J$425,7,FALSE)="Data",1800,0) )))</f>
        <v>0</v>
      </c>
      <c r="M93" s="438">
        <f>VLOOKUP($B93,'CIRS Table IDs'!$B$6:$M$1001,12,FALSE)</f>
        <v>0</v>
      </c>
      <c r="N93" s="436" t="str">
        <f t="shared" si="4"/>
        <v/>
      </c>
      <c r="Q93" s="49"/>
      <c r="R93" s="49"/>
      <c r="S93" s="49"/>
      <c r="T93" s="49"/>
    </row>
    <row r="94" spans="1:20" x14ac:dyDescent="0.2">
      <c r="A94" s="21">
        <v>37</v>
      </c>
      <c r="B94" s="45" t="s">
        <v>423</v>
      </c>
      <c r="C94" s="36">
        <v>2016</v>
      </c>
      <c r="D94" s="36">
        <v>340</v>
      </c>
      <c r="E94" s="37">
        <v>0.54722222222222205</v>
      </c>
      <c r="F94" s="36">
        <v>2016</v>
      </c>
      <c r="G94" s="36">
        <v>340</v>
      </c>
      <c r="H94" s="37">
        <v>0.58888888888888902</v>
      </c>
      <c r="I94" s="43">
        <v>192</v>
      </c>
      <c r="J94" s="43">
        <v>1</v>
      </c>
      <c r="K94" s="43"/>
      <c r="L94" s="438">
        <f>IF($I94&lt;192,0,IF($I94&gt;597,0, IF(VLOOKUP($I94,'CIRS Table Info'!$B$6:$J$425,3,FALSE)="Co-Add", 0.5,1) * (400 + IF(VLOOKUP($I94,'CIRS Table Info'!$B$6:$J$425,5,FALSE)="Data",1800,0) + IF(VLOOKUP($I94,'CIRS Table Info'!$B$6:$J$425,7,FALSE)="Data",1800,0) )))</f>
        <v>400</v>
      </c>
      <c r="M94" s="438">
        <f>VLOOKUP($B94,'CIRS Table IDs'!$B$6:$M$1001,12,FALSE)</f>
        <v>400</v>
      </c>
      <c r="N94" s="436" t="str">
        <f t="shared" si="4"/>
        <v/>
      </c>
      <c r="Q94" s="49"/>
      <c r="R94" s="49"/>
      <c r="S94" s="49"/>
      <c r="T94" s="49"/>
    </row>
    <row r="95" spans="1:20" x14ac:dyDescent="0.2">
      <c r="A95" s="21"/>
      <c r="B95" s="45" t="s">
        <v>77</v>
      </c>
      <c r="C95" s="40">
        <v>2016</v>
      </c>
      <c r="D95" s="40">
        <f>IF(H94&gt;=$E463,G94,G94-1)</f>
        <v>340</v>
      </c>
      <c r="E95" s="37">
        <f>IF(H94-$E463&gt;0,H94-$E463,H94-$E463+$E469)</f>
        <v>0.58819444444444458</v>
      </c>
      <c r="F95" s="40">
        <v>2016</v>
      </c>
      <c r="G95" s="40">
        <v>340</v>
      </c>
      <c r="H95" s="37">
        <v>0.58888888888888902</v>
      </c>
      <c r="I95" s="43">
        <v>602</v>
      </c>
      <c r="J95" s="43">
        <f>IF(I95=50,10,1)</f>
        <v>1</v>
      </c>
      <c r="K95" s="43"/>
      <c r="L95" s="438">
        <f>IF($I95&lt;192,0,IF($I95&gt;597,0, IF(VLOOKUP($I95,'CIRS Table Info'!$B$6:$J$425,3,FALSE)="Co-Add", 0.5,1) * (400 + IF(VLOOKUP($I95,'CIRS Table Info'!$B$6:$J$425,5,FALSE)="Data",1800,0) + IF(VLOOKUP($I95,'CIRS Table Info'!$B$6:$J$425,7,FALSE)="Data",1800,0) )))</f>
        <v>0</v>
      </c>
      <c r="M95" s="438">
        <f>VLOOKUP($B95,'CIRS Table IDs'!$B$6:$M$1001,12,FALSE)</f>
        <v>0</v>
      </c>
      <c r="N95" s="436" t="str">
        <f t="shared" si="4"/>
        <v/>
      </c>
      <c r="Q95" s="49"/>
      <c r="R95" s="49"/>
      <c r="S95" s="49"/>
      <c r="T95" s="49"/>
    </row>
    <row r="96" spans="1:20" x14ac:dyDescent="0.2">
      <c r="A96" s="21">
        <v>38</v>
      </c>
      <c r="B96" s="45" t="s">
        <v>424</v>
      </c>
      <c r="C96" s="36">
        <v>2016</v>
      </c>
      <c r="D96" s="36">
        <v>340</v>
      </c>
      <c r="E96" s="37">
        <v>0.58888888888888902</v>
      </c>
      <c r="F96" s="36">
        <f>IF($G96&gt;=$D96,$C96,$C96+1)</f>
        <v>2016</v>
      </c>
      <c r="G96" s="36">
        <f>IF(MOD($C$5,4)&lt;&gt;0,IF($D96+IF($H96&gt;=$E96,0,IF($H96+$E469&gt;=$E96,1,2))&gt;365,1,$D96+IF($H96&gt;=$E96,0,IF($H96+$E469&gt;=$E96,1,2))),IF($D96+IF($H96&gt;=$E96,0,IF($H96+$E469&gt;=$E96,1,2))&gt;366,1,$D96+IF($H96&gt;=$E96,0,IF($H96+$E469&gt;=$E96,1,2))))</f>
        <v>340</v>
      </c>
      <c r="H96" s="37">
        <f>IF(E96 + TIMEVALUE("00:04:50")&gt;=1,E96 + TIMEVALUE("00:04:50")-1,E96 + TIMEVALUE("00:04:50"))</f>
        <v>0.59224537037037051</v>
      </c>
      <c r="I96" s="496">
        <v>234</v>
      </c>
      <c r="J96" s="43">
        <v>1</v>
      </c>
      <c r="K96" s="43"/>
      <c r="L96" s="438">
        <f>IF($I96&lt;192,0,IF($I96&gt;597,0, IF(VLOOKUP($I96,'CIRS Table Info'!$B$6:$J$425,3,FALSE)="Co-Add", 0.5,1) * (400 + IF(VLOOKUP($I96,'CIRS Table Info'!$B$6:$J$425,5,FALSE)="Data",1800,0) + IF(VLOOKUP($I96,'CIRS Table Info'!$B$6:$J$425,7,FALSE)="Data",1800,0) )))</f>
        <v>4000</v>
      </c>
      <c r="M96" s="438">
        <f>VLOOKUP($B96,'CIRS Table IDs'!$B$6:$M$1001,12,FALSE)</f>
        <v>4000</v>
      </c>
      <c r="N96" s="436" t="str">
        <f t="shared" si="4"/>
        <v/>
      </c>
      <c r="Q96" s="49"/>
      <c r="R96" s="49"/>
      <c r="S96" s="49"/>
      <c r="T96" s="49"/>
    </row>
    <row r="97" spans="1:20" x14ac:dyDescent="0.2">
      <c r="A97" s="21"/>
      <c r="B97" s="45" t="s">
        <v>424</v>
      </c>
      <c r="C97" s="36">
        <f>$F96</f>
        <v>2016</v>
      </c>
      <c r="D97" s="36">
        <f>$G96</f>
        <v>340</v>
      </c>
      <c r="E97" s="37">
        <f>IF(E96 + TIMEVALUE("00:04:50")&gt;=1,E96 + TIMEVALUE("00:04:50")-1,E96 + TIMEVALUE("00:04:50"))</f>
        <v>0.59224537037037051</v>
      </c>
      <c r="F97" s="36">
        <f>IF($G97&gt;=$D97,$C97,$C97+1)</f>
        <v>2016</v>
      </c>
      <c r="G97" s="36">
        <f>IF(0.755555555555556 - TIMEVALUE("00:05:50")&gt;=0, 340, 339)</f>
        <v>340</v>
      </c>
      <c r="H97" s="37">
        <f>IF(0.755555555555556 - TIMEVALUE("00:05:50")&gt;=0, 0.755555555555556 - TIMEVALUE("00:05:50"), 0.755555555555556 - TIMEVALUE("00:05:50") +$E469)</f>
        <v>0.75150462962963005</v>
      </c>
      <c r="I97" s="496">
        <v>231</v>
      </c>
      <c r="J97" s="43">
        <v>1</v>
      </c>
      <c r="K97" s="43"/>
      <c r="L97" s="438">
        <f>IF($I97&lt;192,0,IF($I97&gt;597,0, IF(VLOOKUP($I97,'CIRS Table Info'!$B$6:$J$425,3,FALSE)="Co-Add", 0.5,1) * (400 + IF(VLOOKUP($I97,'CIRS Table Info'!$B$6:$J$425,5,FALSE)="Data",1800,0) + IF(VLOOKUP($I97,'CIRS Table Info'!$B$6:$J$425,7,FALSE)="Data",1800,0) )))</f>
        <v>4000</v>
      </c>
      <c r="M97" s="438">
        <f>VLOOKUP($B97,'CIRS Table IDs'!$B$6:$M$1001,12,FALSE)</f>
        <v>4000</v>
      </c>
      <c r="N97" s="436" t="str">
        <f t="shared" si="4"/>
        <v/>
      </c>
      <c r="Q97" s="49"/>
      <c r="R97" s="49"/>
      <c r="S97" s="49"/>
      <c r="T97" s="49"/>
    </row>
    <row r="98" spans="1:20" x14ac:dyDescent="0.2">
      <c r="A98" s="21"/>
      <c r="B98" s="45" t="s">
        <v>424</v>
      </c>
      <c r="C98" s="36">
        <f>$F97</f>
        <v>2016</v>
      </c>
      <c r="D98" s="36">
        <f>$G97</f>
        <v>340</v>
      </c>
      <c r="E98" s="37">
        <f>IF(0.755555555555556 - TIMEVALUE("00:05:50")&gt;=0, 0.755555555555556 - TIMEVALUE("00:05:50"), 0.755555555555556 - TIMEVALUE("00:05:50") +$E469)</f>
        <v>0.75150462962963005</v>
      </c>
      <c r="F98" s="36">
        <f>IF($G98&gt;=$D98,$C98,$C98+1)</f>
        <v>2016</v>
      </c>
      <c r="G98" s="36">
        <v>340</v>
      </c>
      <c r="H98" s="37">
        <v>0.75555555555555598</v>
      </c>
      <c r="I98" s="496">
        <v>234</v>
      </c>
      <c r="J98" s="43">
        <v>1</v>
      </c>
      <c r="K98" s="43"/>
      <c r="L98" s="438">
        <f>IF($I98&lt;192,0,IF($I98&gt;597,0, IF(VLOOKUP($I98,'CIRS Table Info'!$B$6:$J$425,3,FALSE)="Co-Add", 0.5,1) * (400 + IF(VLOOKUP($I98,'CIRS Table Info'!$B$6:$J$425,5,FALSE)="Data",1800,0) + IF(VLOOKUP($I98,'CIRS Table Info'!$B$6:$J$425,7,FALSE)="Data",1800,0) )))</f>
        <v>4000</v>
      </c>
      <c r="M98" s="438">
        <f>VLOOKUP($B98,'CIRS Table IDs'!$B$6:$M$1001,12,FALSE)</f>
        <v>4000</v>
      </c>
      <c r="N98" s="436" t="str">
        <f t="shared" si="4"/>
        <v/>
      </c>
      <c r="Q98" s="49"/>
      <c r="R98" s="49"/>
      <c r="S98" s="49"/>
      <c r="T98" s="49"/>
    </row>
    <row r="99" spans="1:20" x14ac:dyDescent="0.2">
      <c r="A99" s="21"/>
      <c r="B99" s="45" t="s">
        <v>78</v>
      </c>
      <c r="C99" s="36">
        <v>2016</v>
      </c>
      <c r="D99" s="36">
        <f>IF(H98&gt;=$E463,G98,G98-1)</f>
        <v>340</v>
      </c>
      <c r="E99" s="37">
        <f>IF(H98-$E463&gt;0,H98-$E463,H98-$E463+$E469)</f>
        <v>0.75486111111111154</v>
      </c>
      <c r="F99" s="40">
        <v>2016</v>
      </c>
      <c r="G99" s="40">
        <v>340</v>
      </c>
      <c r="H99" s="37">
        <v>0.87916666666666698</v>
      </c>
      <c r="I99" s="43">
        <v>50</v>
      </c>
      <c r="J99" s="43">
        <f>IF(I99=50,10,1)</f>
        <v>10</v>
      </c>
      <c r="K99" s="43"/>
      <c r="L99" s="438">
        <f>IF($I99&lt;192,0,IF($I99&gt;597,0, IF(VLOOKUP($I99,'CIRS Table Info'!$B$6:$J$425,3,FALSE)="Co-Add", 0.5,1) * (400 + IF(VLOOKUP($I99,'CIRS Table Info'!$B$6:$J$425,5,FALSE)="Data",1800,0) + IF(VLOOKUP($I99,'CIRS Table Info'!$B$6:$J$425,7,FALSE)="Data",1800,0) )))</f>
        <v>0</v>
      </c>
      <c r="M99" s="438">
        <f>VLOOKUP($B99,'CIRS Table IDs'!$B$6:$M$1001,12,FALSE)</f>
        <v>0</v>
      </c>
      <c r="N99" s="436" t="str">
        <f t="shared" si="4"/>
        <v/>
      </c>
      <c r="Q99" s="49"/>
      <c r="R99" s="49"/>
      <c r="S99" s="49"/>
      <c r="T99" s="49"/>
    </row>
    <row r="100" spans="1:20" x14ac:dyDescent="0.2">
      <c r="A100" s="21">
        <v>39</v>
      </c>
      <c r="B100" s="45" t="s">
        <v>430</v>
      </c>
      <c r="C100" s="36">
        <v>2016</v>
      </c>
      <c r="D100" s="36">
        <v>340</v>
      </c>
      <c r="E100" s="37">
        <v>0.87916666666666698</v>
      </c>
      <c r="F100" s="36">
        <v>2016</v>
      </c>
      <c r="G100" s="36">
        <v>341</v>
      </c>
      <c r="H100" s="37">
        <v>0.21249999999999999</v>
      </c>
      <c r="I100" s="43">
        <v>788</v>
      </c>
      <c r="J100" s="43">
        <f>IF(I100=50,10,1)</f>
        <v>1</v>
      </c>
      <c r="K100" s="43"/>
      <c r="L100" s="438">
        <f>IF($I100&lt;192,0,IF($I100&gt;597,0, IF(VLOOKUP($I100,'CIRS Table Info'!$B$6:$J$425,3,FALSE)="Co-Add", 0.5,1) * (400 + IF(VLOOKUP($I100,'CIRS Table Info'!$B$6:$J$425,5,FALSE)="Data",1800,0) + IF(VLOOKUP($I100,'CIRS Table Info'!$B$6:$J$425,7,FALSE)="Data",1800,0) )))</f>
        <v>0</v>
      </c>
      <c r="M100" s="438">
        <f>VLOOKUP($B100,'CIRS Table IDs'!$B$6:$M$1001,12,FALSE)</f>
        <v>3000</v>
      </c>
      <c r="N100" s="436" t="str">
        <f t="shared" si="4"/>
        <v/>
      </c>
      <c r="Q100" s="49"/>
      <c r="R100" s="49"/>
      <c r="S100" s="49"/>
      <c r="T100" s="49"/>
    </row>
    <row r="101" spans="1:20" x14ac:dyDescent="0.2">
      <c r="A101" s="21"/>
      <c r="B101" s="45" t="s">
        <v>79</v>
      </c>
      <c r="C101" s="40">
        <v>2016</v>
      </c>
      <c r="D101" s="40">
        <f>IF(H100&gt;=$E463,G100,G100-1)</f>
        <v>341</v>
      </c>
      <c r="E101" s="37">
        <f>IF(H100-$E463&gt;0,H100-$E463,H100-$E463+$E469)</f>
        <v>0.21180555555555555</v>
      </c>
      <c r="F101" s="40">
        <v>2016</v>
      </c>
      <c r="G101" s="40">
        <v>341</v>
      </c>
      <c r="H101" s="37">
        <v>0.30277777777777798</v>
      </c>
      <c r="I101" s="43">
        <v>600</v>
      </c>
      <c r="J101" s="43">
        <f>IF(I101=50,10,1)</f>
        <v>1</v>
      </c>
      <c r="K101" s="43"/>
      <c r="L101" s="438">
        <f>IF($I101&lt;192,0,IF($I101&gt;597,0, IF(VLOOKUP($I101,'CIRS Table Info'!$B$6:$J$425,3,FALSE)="Co-Add", 0.5,1) * (400 + IF(VLOOKUP($I101,'CIRS Table Info'!$B$6:$J$425,5,FALSE)="Data",1800,0) + IF(VLOOKUP($I101,'CIRS Table Info'!$B$6:$J$425,7,FALSE)="Data",1800,0) )))</f>
        <v>0</v>
      </c>
      <c r="M101" s="438">
        <f>VLOOKUP($B101,'CIRS Table IDs'!$B$6:$M$1001,12,FALSE)</f>
        <v>0</v>
      </c>
      <c r="N101" s="436" t="str">
        <f t="shared" si="4"/>
        <v/>
      </c>
      <c r="Q101" s="49"/>
      <c r="R101" s="49"/>
      <c r="S101" s="49"/>
      <c r="T101" s="49"/>
    </row>
    <row r="102" spans="1:20" x14ac:dyDescent="0.2">
      <c r="A102" s="21">
        <v>40</v>
      </c>
      <c r="B102" s="45" t="s">
        <v>431</v>
      </c>
      <c r="C102" s="36">
        <v>2016</v>
      </c>
      <c r="D102" s="36">
        <v>341</v>
      </c>
      <c r="E102" s="37">
        <v>0.30277777777777798</v>
      </c>
      <c r="F102" s="36">
        <v>2016</v>
      </c>
      <c r="G102" s="36">
        <v>341</v>
      </c>
      <c r="H102" s="37">
        <v>0.67777777777777803</v>
      </c>
      <c r="I102" s="43">
        <v>405</v>
      </c>
      <c r="J102" s="43">
        <v>4</v>
      </c>
      <c r="K102" s="43"/>
      <c r="L102" s="438">
        <f>IF($I102&lt;192,0,IF($I102&gt;597,0, IF(VLOOKUP($I102,'CIRS Table Info'!$B$6:$J$425,3,FALSE)="Co-Add", 0.5,1) * (400 + IF(VLOOKUP($I102,'CIRS Table Info'!$B$6:$J$425,5,FALSE)="Data",1800,0) + IF(VLOOKUP($I102,'CIRS Table Info'!$B$6:$J$425,7,FALSE)="Data",1800,0) )))</f>
        <v>4000</v>
      </c>
      <c r="M102" s="438">
        <f>VLOOKUP($B102,'CIRS Table IDs'!$B$6:$M$1001,12,FALSE)</f>
        <v>4000</v>
      </c>
      <c r="N102" s="436" t="str">
        <f t="shared" si="4"/>
        <v/>
      </c>
      <c r="Q102" s="49"/>
      <c r="R102" s="49"/>
      <c r="S102" s="49"/>
      <c r="T102" s="49"/>
    </row>
    <row r="103" spans="1:20" x14ac:dyDescent="0.2">
      <c r="A103" s="21"/>
      <c r="B103" s="45" t="s">
        <v>80</v>
      </c>
      <c r="C103" s="40">
        <v>2016</v>
      </c>
      <c r="D103" s="40">
        <f>IF(H102&gt;=$E463,G102,G102-1)</f>
        <v>341</v>
      </c>
      <c r="E103" s="37">
        <f>IF(H102-$E463&gt;0,H102-$E463,H102-$E463+$E469)</f>
        <v>0.67708333333333359</v>
      </c>
      <c r="F103" s="40">
        <v>2016</v>
      </c>
      <c r="G103" s="40">
        <v>341</v>
      </c>
      <c r="H103" s="37">
        <v>0.87222222222222201</v>
      </c>
      <c r="I103" s="43">
        <v>50</v>
      </c>
      <c r="J103" s="43">
        <f t="shared" ref="J103:J111" si="6">IF(I103=50,10,1)</f>
        <v>10</v>
      </c>
      <c r="K103" s="43"/>
      <c r="L103" s="438">
        <f>IF($I103&lt;192,0,IF($I103&gt;597,0, IF(VLOOKUP($I103,'CIRS Table Info'!$B$6:$J$425,3,FALSE)="Co-Add", 0.5,1) * (400 + IF(VLOOKUP($I103,'CIRS Table Info'!$B$6:$J$425,5,FALSE)="Data",1800,0) + IF(VLOOKUP($I103,'CIRS Table Info'!$B$6:$J$425,7,FALSE)="Data",1800,0) )))</f>
        <v>0</v>
      </c>
      <c r="M103" s="438">
        <f>VLOOKUP($B103,'CIRS Table IDs'!$B$6:$M$1001,12,FALSE)</f>
        <v>0</v>
      </c>
      <c r="N103" s="436" t="str">
        <f t="shared" si="4"/>
        <v/>
      </c>
      <c r="Q103" s="49"/>
      <c r="R103" s="49"/>
      <c r="S103" s="49"/>
      <c r="T103" s="49"/>
    </row>
    <row r="104" spans="1:20" x14ac:dyDescent="0.2">
      <c r="A104" s="21">
        <v>41</v>
      </c>
      <c r="B104" s="45" t="s">
        <v>432</v>
      </c>
      <c r="C104" s="36">
        <v>2016</v>
      </c>
      <c r="D104" s="36">
        <v>341</v>
      </c>
      <c r="E104" s="37">
        <v>0.87222222222222201</v>
      </c>
      <c r="F104" s="36">
        <v>2016</v>
      </c>
      <c r="G104" s="36">
        <v>342</v>
      </c>
      <c r="H104" s="37">
        <v>0.20555555555555599</v>
      </c>
      <c r="I104" s="43">
        <v>790</v>
      </c>
      <c r="J104" s="43">
        <f t="shared" si="6"/>
        <v>1</v>
      </c>
      <c r="K104" s="43"/>
      <c r="L104" s="438">
        <f>IF($I104&lt;192,0,IF($I104&gt;597,0, IF(VLOOKUP($I104,'CIRS Table Info'!$B$6:$J$425,3,FALSE)="Co-Add", 0.5,1) * (400 + IF(VLOOKUP($I104,'CIRS Table Info'!$B$6:$J$425,5,FALSE)="Data",1800,0) + IF(VLOOKUP($I104,'CIRS Table Info'!$B$6:$J$425,7,FALSE)="Data",1800,0) )))</f>
        <v>0</v>
      </c>
      <c r="M104" s="438">
        <f>VLOOKUP($B104,'CIRS Table IDs'!$B$6:$M$1001,12,FALSE)</f>
        <v>3000</v>
      </c>
      <c r="N104" s="436" t="str">
        <f t="shared" si="4"/>
        <v/>
      </c>
      <c r="Q104" s="49"/>
      <c r="R104" s="49"/>
      <c r="S104" s="49"/>
      <c r="T104" s="49"/>
    </row>
    <row r="105" spans="1:20" x14ac:dyDescent="0.2">
      <c r="A105" s="21"/>
      <c r="B105" s="45" t="s">
        <v>81</v>
      </c>
      <c r="C105" s="40">
        <v>2016</v>
      </c>
      <c r="D105" s="40">
        <f>IF(H104&gt;=$E463,G104,G104-1)</f>
        <v>342</v>
      </c>
      <c r="E105" s="37">
        <f>IF(H104-$E463&gt;0,H104-$E463,H104-$E463+$E469)</f>
        <v>0.20486111111111155</v>
      </c>
      <c r="F105" s="40">
        <v>2016</v>
      </c>
      <c r="G105" s="40">
        <v>342</v>
      </c>
      <c r="H105" s="37">
        <v>0.87916666666666698</v>
      </c>
      <c r="I105" s="43">
        <v>50</v>
      </c>
      <c r="J105" s="43">
        <f t="shared" si="6"/>
        <v>10</v>
      </c>
      <c r="K105" s="43"/>
      <c r="L105" s="438">
        <f>IF($I105&lt;192,0,IF($I105&gt;597,0, IF(VLOOKUP($I105,'CIRS Table Info'!$B$6:$J$425,3,FALSE)="Co-Add", 0.5,1) * (400 + IF(VLOOKUP($I105,'CIRS Table Info'!$B$6:$J$425,5,FALSE)="Data",1800,0) + IF(VLOOKUP($I105,'CIRS Table Info'!$B$6:$J$425,7,FALSE)="Data",1800,0) )))</f>
        <v>0</v>
      </c>
      <c r="M105" s="438">
        <f>VLOOKUP($B105,'CIRS Table IDs'!$B$6:$M$1001,12,FALSE)</f>
        <v>0</v>
      </c>
      <c r="N105" s="436" t="str">
        <f t="shared" si="4"/>
        <v/>
      </c>
      <c r="Q105" s="49"/>
      <c r="R105" s="49"/>
      <c r="S105" s="49"/>
      <c r="T105" s="49"/>
    </row>
    <row r="106" spans="1:20" x14ac:dyDescent="0.2">
      <c r="A106" s="21">
        <v>42</v>
      </c>
      <c r="B106" s="45" t="s">
        <v>433</v>
      </c>
      <c r="C106" s="36">
        <v>2016</v>
      </c>
      <c r="D106" s="36">
        <v>342</v>
      </c>
      <c r="E106" s="37">
        <v>0.87916666666666698</v>
      </c>
      <c r="F106" s="36">
        <v>2016</v>
      </c>
      <c r="G106" s="36">
        <v>343</v>
      </c>
      <c r="H106" s="37">
        <v>0.21249999999999999</v>
      </c>
      <c r="I106" s="43">
        <v>791</v>
      </c>
      <c r="J106" s="43">
        <f t="shared" si="6"/>
        <v>1</v>
      </c>
      <c r="K106" s="43"/>
      <c r="L106" s="438">
        <f>IF($I106&lt;192,0,IF($I106&gt;597,0, IF(VLOOKUP($I106,'CIRS Table Info'!$B$6:$J$425,3,FALSE)="Co-Add", 0.5,1) * (400 + IF(VLOOKUP($I106,'CIRS Table Info'!$B$6:$J$425,5,FALSE)="Data",1800,0) + IF(VLOOKUP($I106,'CIRS Table Info'!$B$6:$J$425,7,FALSE)="Data",1800,0) )))</f>
        <v>0</v>
      </c>
      <c r="M106" s="438">
        <f>VLOOKUP($B106,'CIRS Table IDs'!$B$6:$M$1001,12,FALSE)</f>
        <v>1500</v>
      </c>
      <c r="N106" s="436" t="str">
        <f t="shared" si="4"/>
        <v/>
      </c>
      <c r="Q106" s="49"/>
      <c r="R106" s="49"/>
      <c r="S106" s="49"/>
      <c r="T106" s="49"/>
    </row>
    <row r="107" spans="1:20" x14ac:dyDescent="0.2">
      <c r="A107" s="21"/>
      <c r="B107" s="45" t="s">
        <v>82</v>
      </c>
      <c r="C107" s="40">
        <v>2016</v>
      </c>
      <c r="D107" s="40">
        <f>IF(H106&gt;=$E463,G106,G106-1)</f>
        <v>343</v>
      </c>
      <c r="E107" s="37">
        <f>IF(H106-$E463&gt;0,H106-$E463,H106-$E463+$E469)</f>
        <v>0.21180555555555555</v>
      </c>
      <c r="F107" s="40">
        <v>2016</v>
      </c>
      <c r="G107" s="40">
        <v>348</v>
      </c>
      <c r="H107" s="37">
        <v>0.86319444444444404</v>
      </c>
      <c r="I107" s="43">
        <v>50</v>
      </c>
      <c r="J107" s="43">
        <f t="shared" si="6"/>
        <v>10</v>
      </c>
      <c r="K107" s="43"/>
      <c r="L107" s="438">
        <f>IF($I107&lt;192,0,IF($I107&gt;597,0, IF(VLOOKUP($I107,'CIRS Table Info'!$B$6:$J$425,3,FALSE)="Co-Add", 0.5,1) * (400 + IF(VLOOKUP($I107,'CIRS Table Info'!$B$6:$J$425,5,FALSE)="Data",1800,0) + IF(VLOOKUP($I107,'CIRS Table Info'!$B$6:$J$425,7,FALSE)="Data",1800,0) )))</f>
        <v>0</v>
      </c>
      <c r="M107" s="438">
        <f>VLOOKUP($B107,'CIRS Table IDs'!$B$6:$M$1001,12,FALSE)</f>
        <v>0</v>
      </c>
      <c r="N107" s="436" t="str">
        <f t="shared" si="4"/>
        <v/>
      </c>
      <c r="Q107" s="49"/>
      <c r="R107" s="49"/>
      <c r="S107" s="49"/>
      <c r="T107" s="49"/>
    </row>
    <row r="108" spans="1:20" x14ac:dyDescent="0.2">
      <c r="A108" s="21">
        <v>43</v>
      </c>
      <c r="B108" s="45" t="s">
        <v>434</v>
      </c>
      <c r="C108" s="36">
        <v>2016</v>
      </c>
      <c r="D108" s="36">
        <v>348</v>
      </c>
      <c r="E108" s="37">
        <v>0.86319444444444404</v>
      </c>
      <c r="F108" s="36">
        <v>2016</v>
      </c>
      <c r="G108" s="36">
        <v>349</v>
      </c>
      <c r="H108" s="37">
        <v>0.196527777777778</v>
      </c>
      <c r="I108" s="43">
        <v>792</v>
      </c>
      <c r="J108" s="43">
        <f t="shared" si="6"/>
        <v>1</v>
      </c>
      <c r="K108" s="43"/>
      <c r="L108" s="438">
        <f>IF($I108&lt;192,0,IF($I108&gt;597,0, IF(VLOOKUP($I108,'CIRS Table Info'!$B$6:$J$425,3,FALSE)="Co-Add", 0.5,1) * (400 + IF(VLOOKUP($I108,'CIRS Table Info'!$B$6:$J$425,5,FALSE)="Data",1800,0) + IF(VLOOKUP($I108,'CIRS Table Info'!$B$6:$J$425,7,FALSE)="Data",1800,0) )))</f>
        <v>0</v>
      </c>
      <c r="M108" s="438">
        <f>VLOOKUP($B108,'CIRS Table IDs'!$B$6:$M$1001,12,FALSE)</f>
        <v>1500</v>
      </c>
      <c r="N108" s="436" t="str">
        <f t="shared" si="4"/>
        <v/>
      </c>
      <c r="Q108" s="49"/>
      <c r="R108" s="49"/>
      <c r="S108" s="49"/>
      <c r="T108" s="49"/>
    </row>
    <row r="109" spans="1:20" x14ac:dyDescent="0.2">
      <c r="A109" s="21"/>
      <c r="B109" s="45" t="s">
        <v>83</v>
      </c>
      <c r="C109" s="40">
        <v>2016</v>
      </c>
      <c r="D109" s="40">
        <f>IF(H108&gt;=$E463,G108,G108-1)</f>
        <v>349</v>
      </c>
      <c r="E109" s="37">
        <f>IF(H108-$E463&gt;0,H108-$E463,H108-$E463+$E469)</f>
        <v>0.19583333333333355</v>
      </c>
      <c r="F109" s="40">
        <v>2016</v>
      </c>
      <c r="G109" s="40">
        <v>349</v>
      </c>
      <c r="H109" s="37">
        <v>0.85833333333333295</v>
      </c>
      <c r="I109" s="43">
        <v>50</v>
      </c>
      <c r="J109" s="43">
        <f t="shared" si="6"/>
        <v>10</v>
      </c>
      <c r="K109" s="43"/>
      <c r="L109" s="438">
        <f>IF($I109&lt;192,0,IF($I109&gt;597,0, IF(VLOOKUP($I109,'CIRS Table Info'!$B$6:$J$425,3,FALSE)="Co-Add", 0.5,1) * (400 + IF(VLOOKUP($I109,'CIRS Table Info'!$B$6:$J$425,5,FALSE)="Data",1800,0) + IF(VLOOKUP($I109,'CIRS Table Info'!$B$6:$J$425,7,FALSE)="Data",1800,0) )))</f>
        <v>0</v>
      </c>
      <c r="M109" s="438">
        <f>VLOOKUP($B109,'CIRS Table IDs'!$B$6:$M$1001,12,FALSE)</f>
        <v>0</v>
      </c>
      <c r="N109" s="436" t="str">
        <f t="shared" si="4"/>
        <v/>
      </c>
      <c r="Q109" s="49"/>
      <c r="R109" s="49"/>
      <c r="S109" s="49"/>
      <c r="T109" s="49"/>
    </row>
    <row r="110" spans="1:20" x14ac:dyDescent="0.2">
      <c r="A110" s="21">
        <v>44</v>
      </c>
      <c r="B110" s="45" t="s">
        <v>435</v>
      </c>
      <c r="C110" s="36">
        <v>2016</v>
      </c>
      <c r="D110" s="36">
        <v>349</v>
      </c>
      <c r="E110" s="37">
        <v>0.85833333333333295</v>
      </c>
      <c r="F110" s="36">
        <v>2016</v>
      </c>
      <c r="G110" s="36">
        <v>350</v>
      </c>
      <c r="H110" s="37">
        <v>0.19166666666666701</v>
      </c>
      <c r="I110" s="43">
        <v>793</v>
      </c>
      <c r="J110" s="43">
        <f t="shared" si="6"/>
        <v>1</v>
      </c>
      <c r="K110" s="43"/>
      <c r="L110" s="438">
        <f>IF($I110&lt;192,0,IF($I110&gt;597,0, IF(VLOOKUP($I110,'CIRS Table Info'!$B$6:$J$425,3,FALSE)="Co-Add", 0.5,1) * (400 + IF(VLOOKUP($I110,'CIRS Table Info'!$B$6:$J$425,5,FALSE)="Data",1800,0) + IF(VLOOKUP($I110,'CIRS Table Info'!$B$6:$J$425,7,FALSE)="Data",1800,0) )))</f>
        <v>0</v>
      </c>
      <c r="M110" s="438">
        <f>VLOOKUP($B110,'CIRS Table IDs'!$B$6:$M$1001,12,FALSE)</f>
        <v>3000</v>
      </c>
      <c r="N110" s="436" t="str">
        <f t="shared" si="4"/>
        <v/>
      </c>
      <c r="Q110" s="49"/>
      <c r="R110" s="49"/>
      <c r="S110" s="49"/>
      <c r="T110" s="49"/>
    </row>
    <row r="111" spans="1:20" x14ac:dyDescent="0.2">
      <c r="A111" s="21"/>
      <c r="B111" s="45" t="s">
        <v>84</v>
      </c>
      <c r="C111" s="40">
        <v>2016</v>
      </c>
      <c r="D111" s="40">
        <f>IF(H110&gt;=$E463,G110,G110-1)</f>
        <v>350</v>
      </c>
      <c r="E111" s="37">
        <f>IF(H110-$E463&gt;0,H110-$E463,H110-$E463+$E469)</f>
        <v>0.19097222222222257</v>
      </c>
      <c r="F111" s="40">
        <v>2016</v>
      </c>
      <c r="G111" s="40">
        <v>350</v>
      </c>
      <c r="H111" s="37">
        <v>0.26111111111111102</v>
      </c>
      <c r="I111" s="43">
        <v>606</v>
      </c>
      <c r="J111" s="43">
        <f t="shared" si="6"/>
        <v>1</v>
      </c>
      <c r="K111" s="43"/>
      <c r="L111" s="438">
        <f>IF($I111&lt;192,0,IF($I111&gt;597,0, IF(VLOOKUP($I111,'CIRS Table Info'!$B$6:$J$425,3,FALSE)="Co-Add", 0.5,1) * (400 + IF(VLOOKUP($I111,'CIRS Table Info'!$B$6:$J$425,5,FALSE)="Data",1800,0) + IF(VLOOKUP($I111,'CIRS Table Info'!$B$6:$J$425,7,FALSE)="Data",1800,0) )))</f>
        <v>0</v>
      </c>
      <c r="M111" s="438">
        <f>VLOOKUP($B111,'CIRS Table IDs'!$B$6:$M$1001,12,FALSE)</f>
        <v>0</v>
      </c>
      <c r="N111" s="436" t="str">
        <f t="shared" si="4"/>
        <v/>
      </c>
      <c r="Q111" s="49"/>
      <c r="R111" s="49"/>
      <c r="S111" s="49"/>
      <c r="T111" s="49"/>
    </row>
    <row r="112" spans="1:20" x14ac:dyDescent="0.2">
      <c r="A112" s="21">
        <v>45</v>
      </c>
      <c r="B112" s="45" t="s">
        <v>436</v>
      </c>
      <c r="C112" s="36">
        <v>2016</v>
      </c>
      <c r="D112" s="36">
        <v>350</v>
      </c>
      <c r="E112" s="37">
        <v>0.26111111111111102</v>
      </c>
      <c r="F112" s="36">
        <v>2016</v>
      </c>
      <c r="G112" s="36">
        <v>350</v>
      </c>
      <c r="H112" s="37">
        <v>0.42777777777777798</v>
      </c>
      <c r="I112" s="43">
        <v>541</v>
      </c>
      <c r="J112" s="43">
        <v>1</v>
      </c>
      <c r="K112" s="43"/>
      <c r="L112" s="438">
        <f>IF($I112&lt;192,0,IF($I112&gt;597,0, IF(VLOOKUP($I112,'CIRS Table Info'!$B$6:$J$425,3,FALSE)="Co-Add", 0.5,1) * (400 + IF(VLOOKUP($I112,'CIRS Table Info'!$B$6:$J$425,5,FALSE)="Data",1800,0) + IF(VLOOKUP($I112,'CIRS Table Info'!$B$6:$J$425,7,FALSE)="Data",1800,0) )))</f>
        <v>4000</v>
      </c>
      <c r="M112" s="438">
        <f>VLOOKUP($B112,'CIRS Table IDs'!$B$6:$M$1001,12,FALSE)</f>
        <v>3600</v>
      </c>
      <c r="N112" s="436" t="str">
        <f t="shared" si="4"/>
        <v>Error</v>
      </c>
      <c r="Q112" s="49"/>
      <c r="R112" s="49"/>
      <c r="S112" s="49"/>
      <c r="T112" s="49"/>
    </row>
    <row r="113" spans="1:20" x14ac:dyDescent="0.2">
      <c r="A113" s="21"/>
      <c r="B113" s="45" t="s">
        <v>85</v>
      </c>
      <c r="C113" s="40">
        <v>2016</v>
      </c>
      <c r="D113" s="40">
        <f>IF(H112&gt;=$E463,G112,G112-1)</f>
        <v>350</v>
      </c>
      <c r="E113" s="37">
        <f>IF(H112-$E463&gt;0,H112-$E463,H112-$E463+$E469)</f>
        <v>0.42708333333333354</v>
      </c>
      <c r="F113" s="40">
        <v>2016</v>
      </c>
      <c r="G113" s="40">
        <v>350</v>
      </c>
      <c r="H113" s="37">
        <v>0.42777777777777798</v>
      </c>
      <c r="I113" s="43">
        <v>602</v>
      </c>
      <c r="J113" s="43">
        <f>IF(I113=50,10,1)</f>
        <v>1</v>
      </c>
      <c r="K113" s="43"/>
      <c r="L113" s="438">
        <f>IF($I113&lt;192,0,IF($I113&gt;597,0, IF(VLOOKUP($I113,'CIRS Table Info'!$B$6:$J$425,3,FALSE)="Co-Add", 0.5,1) * (400 + IF(VLOOKUP($I113,'CIRS Table Info'!$B$6:$J$425,5,FALSE)="Data",1800,0) + IF(VLOOKUP($I113,'CIRS Table Info'!$B$6:$J$425,7,FALSE)="Data",1800,0) )))</f>
        <v>0</v>
      </c>
      <c r="M113" s="438">
        <f>VLOOKUP($B113,'CIRS Table IDs'!$B$6:$M$1001,12,FALSE)</f>
        <v>0</v>
      </c>
      <c r="N113" s="436" t="str">
        <f t="shared" si="4"/>
        <v/>
      </c>
      <c r="Q113" s="49"/>
      <c r="R113" s="49"/>
      <c r="S113" s="49"/>
      <c r="T113" s="49"/>
    </row>
    <row r="114" spans="1:20" x14ac:dyDescent="0.2">
      <c r="A114" s="21">
        <v>46</v>
      </c>
      <c r="B114" s="45" t="s">
        <v>439</v>
      </c>
      <c r="C114" s="36">
        <v>2016</v>
      </c>
      <c r="D114" s="36">
        <v>350</v>
      </c>
      <c r="E114" s="37">
        <v>0.42777777777777798</v>
      </c>
      <c r="F114" s="36">
        <v>2016</v>
      </c>
      <c r="G114" s="36">
        <v>350</v>
      </c>
      <c r="H114" s="37">
        <v>0.68125000000000002</v>
      </c>
      <c r="I114" s="43">
        <v>467</v>
      </c>
      <c r="J114" s="43">
        <v>2</v>
      </c>
      <c r="K114" s="43"/>
      <c r="L114" s="438">
        <f>IF($I114&lt;192,0,IF($I114&gt;597,0, IF(VLOOKUP($I114,'CIRS Table Info'!$B$6:$J$425,3,FALSE)="Co-Add", 0.5,1) * (400 + IF(VLOOKUP($I114,'CIRS Table Info'!$B$6:$J$425,5,FALSE)="Data",1800,0) + IF(VLOOKUP($I114,'CIRS Table Info'!$B$6:$J$425,7,FALSE)="Data",1800,0) )))</f>
        <v>4000</v>
      </c>
      <c r="M114" s="438">
        <f>VLOOKUP($B114,'CIRS Table IDs'!$B$6:$M$1001,12,FALSE)</f>
        <v>3600</v>
      </c>
      <c r="N114" s="436" t="str">
        <f t="shared" si="4"/>
        <v>Error</v>
      </c>
      <c r="Q114" s="49"/>
      <c r="R114" s="49"/>
      <c r="S114" s="49"/>
      <c r="T114" s="49"/>
    </row>
    <row r="115" spans="1:20" x14ac:dyDescent="0.2">
      <c r="A115" s="21"/>
      <c r="B115" s="45" t="s">
        <v>86</v>
      </c>
      <c r="C115" s="40">
        <v>2016</v>
      </c>
      <c r="D115" s="40">
        <f>IF(H114&gt;=$E463,G114,G114-1)</f>
        <v>350</v>
      </c>
      <c r="E115" s="37">
        <f>IF(H114-$E463&gt;0,H114-$E463,H114-$E463+$E469)</f>
        <v>0.68055555555555558</v>
      </c>
      <c r="F115" s="40">
        <v>2016</v>
      </c>
      <c r="G115" s="40">
        <v>350</v>
      </c>
      <c r="H115" s="37">
        <v>0.68125000000000002</v>
      </c>
      <c r="I115" s="43">
        <v>606</v>
      </c>
      <c r="J115" s="43">
        <f>IF(I115=50,10,1)</f>
        <v>1</v>
      </c>
      <c r="K115" s="43"/>
      <c r="L115" s="438">
        <f>IF($I115&lt;192,0,IF($I115&gt;597,0, IF(VLOOKUP($I115,'CIRS Table Info'!$B$6:$J$425,3,FALSE)="Co-Add", 0.5,1) * (400 + IF(VLOOKUP($I115,'CIRS Table Info'!$B$6:$J$425,5,FALSE)="Data",1800,0) + IF(VLOOKUP($I115,'CIRS Table Info'!$B$6:$J$425,7,FALSE)="Data",1800,0) )))</f>
        <v>0</v>
      </c>
      <c r="M115" s="438">
        <f>VLOOKUP($B115,'CIRS Table IDs'!$B$6:$M$1001,12,FALSE)</f>
        <v>0</v>
      </c>
      <c r="N115" s="436" t="str">
        <f t="shared" si="4"/>
        <v/>
      </c>
      <c r="Q115" s="49"/>
      <c r="R115" s="49"/>
      <c r="S115" s="49"/>
      <c r="T115" s="49"/>
    </row>
    <row r="116" spans="1:20" x14ac:dyDescent="0.2">
      <c r="A116" s="21">
        <v>47</v>
      </c>
      <c r="B116" s="45" t="s">
        <v>441</v>
      </c>
      <c r="C116" s="36">
        <v>2016</v>
      </c>
      <c r="D116" s="36">
        <v>350</v>
      </c>
      <c r="E116" s="37">
        <v>0.68125000000000002</v>
      </c>
      <c r="F116" s="36">
        <v>2016</v>
      </c>
      <c r="G116" s="36">
        <v>350</v>
      </c>
      <c r="H116" s="37">
        <v>0.72291666666666698</v>
      </c>
      <c r="I116" s="43">
        <v>491</v>
      </c>
      <c r="J116" s="43">
        <v>1</v>
      </c>
      <c r="K116" s="43"/>
      <c r="L116" s="438">
        <f>IF($I116&lt;192,0,IF($I116&gt;597,0, IF(VLOOKUP($I116,'CIRS Table Info'!$B$6:$J$425,3,FALSE)="Co-Add", 0.5,1) * (400 + IF(VLOOKUP($I116,'CIRS Table Info'!$B$6:$J$425,5,FALSE)="Data",1800,0) + IF(VLOOKUP($I116,'CIRS Table Info'!$B$6:$J$425,7,FALSE)="Data",1800,0) )))</f>
        <v>4000</v>
      </c>
      <c r="M116" s="438">
        <f>VLOOKUP($B116,'CIRS Table IDs'!$B$6:$M$1001,12,FALSE)</f>
        <v>3600</v>
      </c>
      <c r="N116" s="436" t="str">
        <f t="shared" si="4"/>
        <v>Error</v>
      </c>
      <c r="Q116" s="49"/>
      <c r="R116" s="49"/>
      <c r="S116" s="49"/>
      <c r="T116" s="49"/>
    </row>
    <row r="117" spans="1:20" x14ac:dyDescent="0.2">
      <c r="A117" s="21"/>
      <c r="B117" s="45" t="s">
        <v>87</v>
      </c>
      <c r="C117" s="40">
        <v>2016</v>
      </c>
      <c r="D117" s="40">
        <f>IF(H116&gt;=$E463,G116,G116-1)</f>
        <v>350</v>
      </c>
      <c r="E117" s="37">
        <f>IF(H116-$E463&gt;0,H116-$E463,H116-$E463+$E469)</f>
        <v>0.72222222222222254</v>
      </c>
      <c r="F117" s="40">
        <v>2016</v>
      </c>
      <c r="G117" s="40">
        <v>350</v>
      </c>
      <c r="H117" s="37">
        <v>0.72291666666666698</v>
      </c>
      <c r="I117" s="43">
        <v>606</v>
      </c>
      <c r="J117" s="43">
        <f>IF(I117=50,10,1)</f>
        <v>1</v>
      </c>
      <c r="K117" s="43"/>
      <c r="L117" s="438">
        <f>IF($I117&lt;192,0,IF($I117&gt;597,0, IF(VLOOKUP($I117,'CIRS Table Info'!$B$6:$J$425,3,FALSE)="Co-Add", 0.5,1) * (400 + IF(VLOOKUP($I117,'CIRS Table Info'!$B$6:$J$425,5,FALSE)="Data",1800,0) + IF(VLOOKUP($I117,'CIRS Table Info'!$B$6:$J$425,7,FALSE)="Data",1800,0) )))</f>
        <v>0</v>
      </c>
      <c r="M117" s="438">
        <f>VLOOKUP($B117,'CIRS Table IDs'!$B$6:$M$1001,12,FALSE)</f>
        <v>0</v>
      </c>
      <c r="N117" s="436" t="str">
        <f t="shared" si="4"/>
        <v/>
      </c>
      <c r="Q117" s="49"/>
      <c r="R117" s="49"/>
      <c r="S117" s="49"/>
      <c r="T117" s="49"/>
    </row>
    <row r="118" spans="1:20" x14ac:dyDescent="0.2">
      <c r="A118" s="21">
        <v>48</v>
      </c>
      <c r="B118" s="45" t="s">
        <v>442</v>
      </c>
      <c r="C118" s="36">
        <v>2016</v>
      </c>
      <c r="D118" s="36">
        <v>350</v>
      </c>
      <c r="E118" s="37">
        <v>0.72291666666666698</v>
      </c>
      <c r="F118" s="36">
        <v>2016</v>
      </c>
      <c r="G118" s="36">
        <v>350</v>
      </c>
      <c r="H118" s="37">
        <v>0.88958333333333295</v>
      </c>
      <c r="I118" s="43">
        <v>541</v>
      </c>
      <c r="J118" s="43">
        <v>1</v>
      </c>
      <c r="K118" s="43"/>
      <c r="L118" s="438">
        <f>IF($I118&lt;192,0,IF($I118&gt;597,0, IF(VLOOKUP($I118,'CIRS Table Info'!$B$6:$J$425,3,FALSE)="Co-Add", 0.5,1) * (400 + IF(VLOOKUP($I118,'CIRS Table Info'!$B$6:$J$425,5,FALSE)="Data",1800,0) + IF(VLOOKUP($I118,'CIRS Table Info'!$B$6:$J$425,7,FALSE)="Data",1800,0) )))</f>
        <v>4000</v>
      </c>
      <c r="M118" s="438">
        <f>VLOOKUP($B118,'CIRS Table IDs'!$B$6:$M$1001,12,FALSE)</f>
        <v>3600</v>
      </c>
      <c r="N118" s="436" t="str">
        <f t="shared" si="4"/>
        <v>Error</v>
      </c>
      <c r="Q118" s="49"/>
      <c r="R118" s="49"/>
      <c r="S118" s="49"/>
      <c r="T118" s="49"/>
    </row>
    <row r="119" spans="1:20" x14ac:dyDescent="0.2">
      <c r="A119" s="21"/>
      <c r="B119" s="45" t="s">
        <v>88</v>
      </c>
      <c r="C119" s="40">
        <v>2016</v>
      </c>
      <c r="D119" s="40">
        <f>IF(H118&gt;=$E463,G118,G118-1)</f>
        <v>350</v>
      </c>
      <c r="E119" s="37">
        <f>IF(H118-$E463&gt;0,H118-$E463,H118-$E463+$E469)</f>
        <v>0.88888888888888851</v>
      </c>
      <c r="F119" s="40">
        <v>2016</v>
      </c>
      <c r="G119" s="40">
        <v>350</v>
      </c>
      <c r="H119" s="37">
        <v>0.88958333333333295</v>
      </c>
      <c r="I119" s="43">
        <v>606</v>
      </c>
      <c r="J119" s="43">
        <f>IF(I119=50,10,1)</f>
        <v>1</v>
      </c>
      <c r="K119" s="43"/>
      <c r="L119" s="438">
        <f>IF($I119&lt;192,0,IF($I119&gt;597,0, IF(VLOOKUP($I119,'CIRS Table Info'!$B$6:$J$425,3,FALSE)="Co-Add", 0.5,1) * (400 + IF(VLOOKUP($I119,'CIRS Table Info'!$B$6:$J$425,5,FALSE)="Data",1800,0) + IF(VLOOKUP($I119,'CIRS Table Info'!$B$6:$J$425,7,FALSE)="Data",1800,0) )))</f>
        <v>0</v>
      </c>
      <c r="M119" s="438">
        <f>VLOOKUP($B119,'CIRS Table IDs'!$B$6:$M$1001,12,FALSE)</f>
        <v>0</v>
      </c>
      <c r="N119" s="436" t="str">
        <f t="shared" si="4"/>
        <v/>
      </c>
      <c r="Q119" s="49"/>
      <c r="R119" s="49"/>
      <c r="S119" s="49"/>
      <c r="T119" s="49"/>
    </row>
    <row r="120" spans="1:20" x14ac:dyDescent="0.2">
      <c r="A120" s="21">
        <v>49</v>
      </c>
      <c r="B120" s="45" t="s">
        <v>444</v>
      </c>
      <c r="C120" s="36">
        <v>2016</v>
      </c>
      <c r="D120" s="36">
        <v>350</v>
      </c>
      <c r="E120" s="37">
        <v>0.88958333333333295</v>
      </c>
      <c r="F120" s="36">
        <v>2016</v>
      </c>
      <c r="G120" s="36">
        <v>350</v>
      </c>
      <c r="H120" s="37">
        <v>0.93125000000000002</v>
      </c>
      <c r="I120" s="43">
        <v>491</v>
      </c>
      <c r="J120" s="43">
        <v>1</v>
      </c>
      <c r="K120" s="43"/>
      <c r="L120" s="438">
        <f>IF($I120&lt;192,0,IF($I120&gt;597,0, IF(VLOOKUP($I120,'CIRS Table Info'!$B$6:$J$425,3,FALSE)="Co-Add", 0.5,1) * (400 + IF(VLOOKUP($I120,'CIRS Table Info'!$B$6:$J$425,5,FALSE)="Data",1800,0) + IF(VLOOKUP($I120,'CIRS Table Info'!$B$6:$J$425,7,FALSE)="Data",1800,0) )))</f>
        <v>4000</v>
      </c>
      <c r="M120" s="438">
        <f>VLOOKUP($B120,'CIRS Table IDs'!$B$6:$M$1001,12,FALSE)</f>
        <v>3600</v>
      </c>
      <c r="N120" s="436" t="str">
        <f t="shared" si="4"/>
        <v>Error</v>
      </c>
      <c r="Q120" s="49"/>
      <c r="R120" s="49"/>
      <c r="S120" s="49"/>
      <c r="T120" s="49"/>
    </row>
    <row r="121" spans="1:20" x14ac:dyDescent="0.2">
      <c r="A121" s="21"/>
      <c r="B121" s="45" t="s">
        <v>89</v>
      </c>
      <c r="C121" s="40">
        <v>2016</v>
      </c>
      <c r="D121" s="40">
        <f>IF(H120&gt;=$E463,G120,G120-1)</f>
        <v>350</v>
      </c>
      <c r="E121" s="37">
        <f>IF(H120-$E463&gt;0,H120-$E463,H120-$E463+$E469)</f>
        <v>0.93055555555555558</v>
      </c>
      <c r="F121" s="40">
        <v>2016</v>
      </c>
      <c r="G121" s="40">
        <v>350</v>
      </c>
      <c r="H121" s="37">
        <v>0.93125000000000002</v>
      </c>
      <c r="I121" s="43">
        <v>602</v>
      </c>
      <c r="J121" s="43">
        <f>IF(I121=50,10,1)</f>
        <v>1</v>
      </c>
      <c r="K121" s="43"/>
      <c r="L121" s="438">
        <f>IF($I121&lt;192,0,IF($I121&gt;597,0, IF(VLOOKUP($I121,'CIRS Table Info'!$B$6:$J$425,3,FALSE)="Co-Add", 0.5,1) * (400 + IF(VLOOKUP($I121,'CIRS Table Info'!$B$6:$J$425,5,FALSE)="Data",1800,0) + IF(VLOOKUP($I121,'CIRS Table Info'!$B$6:$J$425,7,FALSE)="Data",1800,0) )))</f>
        <v>0</v>
      </c>
      <c r="M121" s="438">
        <f>VLOOKUP($B121,'CIRS Table IDs'!$B$6:$M$1001,12,FALSE)</f>
        <v>0</v>
      </c>
      <c r="N121" s="436" t="str">
        <f t="shared" si="4"/>
        <v/>
      </c>
      <c r="Q121" s="49"/>
      <c r="R121" s="49"/>
      <c r="S121" s="49"/>
      <c r="T121" s="49"/>
    </row>
    <row r="122" spans="1:20" x14ac:dyDescent="0.2">
      <c r="A122" s="21">
        <v>50</v>
      </c>
      <c r="B122" s="45" t="s">
        <v>445</v>
      </c>
      <c r="C122" s="36">
        <v>2016</v>
      </c>
      <c r="D122" s="36">
        <v>350</v>
      </c>
      <c r="E122" s="37">
        <v>0.93125000000000002</v>
      </c>
      <c r="F122" s="36">
        <v>2016</v>
      </c>
      <c r="G122" s="36">
        <v>351</v>
      </c>
      <c r="H122" s="37">
        <v>9.7916666666666693E-2</v>
      </c>
      <c r="I122" s="43">
        <v>467</v>
      </c>
      <c r="J122" s="43">
        <v>2</v>
      </c>
      <c r="K122" s="43"/>
      <c r="L122" s="438">
        <f>IF($I122&lt;192,0,IF($I122&gt;597,0, IF(VLOOKUP($I122,'CIRS Table Info'!$B$6:$J$425,3,FALSE)="Co-Add", 0.5,1) * (400 + IF(VLOOKUP($I122,'CIRS Table Info'!$B$6:$J$425,5,FALSE)="Data",1800,0) + IF(VLOOKUP($I122,'CIRS Table Info'!$B$6:$J$425,7,FALSE)="Data",1800,0) )))</f>
        <v>4000</v>
      </c>
      <c r="M122" s="438">
        <f>VLOOKUP($B122,'CIRS Table IDs'!$B$6:$M$1001,12,FALSE)</f>
        <v>3600</v>
      </c>
      <c r="N122" s="436" t="str">
        <f t="shared" si="4"/>
        <v>Error</v>
      </c>
      <c r="Q122" s="49"/>
      <c r="R122" s="49"/>
      <c r="S122" s="49"/>
      <c r="T122" s="49"/>
    </row>
    <row r="123" spans="1:20" x14ac:dyDescent="0.2">
      <c r="A123" s="21"/>
      <c r="B123" s="45" t="s">
        <v>90</v>
      </c>
      <c r="C123" s="40">
        <v>2016</v>
      </c>
      <c r="D123" s="40">
        <f>IF(H122&gt;=$E463,G122,G122-1)</f>
        <v>351</v>
      </c>
      <c r="E123" s="37">
        <f>IF(H122-$E463&gt;0,H122-$E463,H122-$E463+$E469)</f>
        <v>9.7222222222222252E-2</v>
      </c>
      <c r="F123" s="40">
        <v>2016</v>
      </c>
      <c r="G123" s="40">
        <v>351</v>
      </c>
      <c r="H123" s="37">
        <v>9.7916666666666693E-2</v>
      </c>
      <c r="I123" s="43">
        <v>606</v>
      </c>
      <c r="J123" s="43">
        <f>IF(I123=50,10,1)</f>
        <v>1</v>
      </c>
      <c r="K123" s="43"/>
      <c r="L123" s="438">
        <f>IF($I123&lt;192,0,IF($I123&gt;597,0, IF(VLOOKUP($I123,'CIRS Table Info'!$B$6:$J$425,3,FALSE)="Co-Add", 0.5,1) * (400 + IF(VLOOKUP($I123,'CIRS Table Info'!$B$6:$J$425,5,FALSE)="Data",1800,0) + IF(VLOOKUP($I123,'CIRS Table Info'!$B$6:$J$425,7,FALSE)="Data",1800,0) )))</f>
        <v>0</v>
      </c>
      <c r="M123" s="438">
        <f>VLOOKUP($B123,'CIRS Table IDs'!$B$6:$M$1001,12,FALSE)</f>
        <v>0</v>
      </c>
      <c r="N123" s="436" t="str">
        <f t="shared" si="4"/>
        <v/>
      </c>
      <c r="Q123" s="49"/>
      <c r="R123" s="49"/>
      <c r="S123" s="49"/>
      <c r="T123" s="49"/>
    </row>
    <row r="124" spans="1:20" x14ac:dyDescent="0.2">
      <c r="A124" s="21">
        <v>51</v>
      </c>
      <c r="B124" s="45" t="s">
        <v>446</v>
      </c>
      <c r="C124" s="36">
        <v>2016</v>
      </c>
      <c r="D124" s="36">
        <v>351</v>
      </c>
      <c r="E124" s="37">
        <v>9.7916666666666693E-2</v>
      </c>
      <c r="F124" s="36">
        <v>2016</v>
      </c>
      <c r="G124" s="36">
        <v>351</v>
      </c>
      <c r="H124" s="37">
        <v>0.139583333333333</v>
      </c>
      <c r="I124" s="43">
        <v>491</v>
      </c>
      <c r="J124" s="43">
        <v>1</v>
      </c>
      <c r="K124" s="43"/>
      <c r="L124" s="438">
        <f>IF($I124&lt;192,0,IF($I124&gt;597,0, IF(VLOOKUP($I124,'CIRS Table Info'!$B$6:$J$425,3,FALSE)="Co-Add", 0.5,1) * (400 + IF(VLOOKUP($I124,'CIRS Table Info'!$B$6:$J$425,5,FALSE)="Data",1800,0) + IF(VLOOKUP($I124,'CIRS Table Info'!$B$6:$J$425,7,FALSE)="Data",1800,0) )))</f>
        <v>4000</v>
      </c>
      <c r="M124" s="438">
        <f>VLOOKUP($B124,'CIRS Table IDs'!$B$6:$M$1001,12,FALSE)</f>
        <v>3600</v>
      </c>
      <c r="N124" s="436" t="str">
        <f t="shared" si="4"/>
        <v>Error</v>
      </c>
      <c r="Q124" s="49"/>
      <c r="R124" s="49"/>
      <c r="S124" s="49"/>
      <c r="T124" s="49"/>
    </row>
    <row r="125" spans="1:20" x14ac:dyDescent="0.2">
      <c r="A125" s="21"/>
      <c r="B125" s="45" t="s">
        <v>91</v>
      </c>
      <c r="C125" s="40">
        <v>2016</v>
      </c>
      <c r="D125" s="40">
        <f>IF(H124&gt;=$E463,G124,G124-1)</f>
        <v>351</v>
      </c>
      <c r="E125" s="37">
        <f>IF(H124-$E463&gt;0,H124-$E463,H124-$E463+$E469)</f>
        <v>0.13888888888888856</v>
      </c>
      <c r="F125" s="40">
        <v>2016</v>
      </c>
      <c r="G125" s="40">
        <v>351</v>
      </c>
      <c r="H125" s="37">
        <v>0.139583333333333</v>
      </c>
      <c r="I125" s="43">
        <v>606</v>
      </c>
      <c r="J125" s="43">
        <f>IF(I125=50,10,1)</f>
        <v>1</v>
      </c>
      <c r="K125" s="43"/>
      <c r="L125" s="438">
        <f>IF($I125&lt;192,0,IF($I125&gt;597,0, IF(VLOOKUP($I125,'CIRS Table Info'!$B$6:$J$425,3,FALSE)="Co-Add", 0.5,1) * (400 + IF(VLOOKUP($I125,'CIRS Table Info'!$B$6:$J$425,5,FALSE)="Data",1800,0) + IF(VLOOKUP($I125,'CIRS Table Info'!$B$6:$J$425,7,FALSE)="Data",1800,0) )))</f>
        <v>0</v>
      </c>
      <c r="M125" s="438">
        <f>VLOOKUP($B125,'CIRS Table IDs'!$B$6:$M$1001,12,FALSE)</f>
        <v>0</v>
      </c>
      <c r="N125" s="436" t="str">
        <f t="shared" si="4"/>
        <v/>
      </c>
      <c r="Q125" s="49"/>
      <c r="R125" s="49"/>
      <c r="S125" s="49"/>
      <c r="T125" s="49"/>
    </row>
    <row r="126" spans="1:20" x14ac:dyDescent="0.2">
      <c r="A126" s="21">
        <v>52</v>
      </c>
      <c r="B126" s="45" t="s">
        <v>447</v>
      </c>
      <c r="C126" s="36">
        <v>2016</v>
      </c>
      <c r="D126" s="36">
        <v>351</v>
      </c>
      <c r="E126" s="37">
        <v>0.139583333333333</v>
      </c>
      <c r="F126" s="36">
        <v>2016</v>
      </c>
      <c r="G126" s="36">
        <v>351</v>
      </c>
      <c r="H126" s="37">
        <v>0.202083333333333</v>
      </c>
      <c r="I126" s="43">
        <v>541</v>
      </c>
      <c r="J126" s="43">
        <v>1</v>
      </c>
      <c r="K126" s="43"/>
      <c r="L126" s="438">
        <f>IF($I126&lt;192,0,IF($I126&gt;597,0, IF(VLOOKUP($I126,'CIRS Table Info'!$B$6:$J$425,3,FALSE)="Co-Add", 0.5,1) * (400 + IF(VLOOKUP($I126,'CIRS Table Info'!$B$6:$J$425,5,FALSE)="Data",1800,0) + IF(VLOOKUP($I126,'CIRS Table Info'!$B$6:$J$425,7,FALSE)="Data",1800,0) )))</f>
        <v>4000</v>
      </c>
      <c r="M126" s="438">
        <f>VLOOKUP($B126,'CIRS Table IDs'!$B$6:$M$1001,12,FALSE)</f>
        <v>3600</v>
      </c>
      <c r="N126" s="436" t="str">
        <f t="shared" si="4"/>
        <v>Error</v>
      </c>
      <c r="Q126" s="49"/>
      <c r="R126" s="49"/>
      <c r="S126" s="49"/>
      <c r="T126" s="49"/>
    </row>
    <row r="127" spans="1:20" x14ac:dyDescent="0.2">
      <c r="A127" s="21"/>
      <c r="B127" s="45" t="s">
        <v>92</v>
      </c>
      <c r="C127" s="40">
        <v>2016</v>
      </c>
      <c r="D127" s="40">
        <f>IF(H126&gt;=$E463,G126,G126-1)</f>
        <v>351</v>
      </c>
      <c r="E127" s="37">
        <f>IF(H126-$E463&gt;0,H126-$E463,H126-$E463+$E469)</f>
        <v>0.20138888888888856</v>
      </c>
      <c r="F127" s="40">
        <v>2016</v>
      </c>
      <c r="G127" s="40">
        <v>351</v>
      </c>
      <c r="H127" s="37">
        <v>0.202083333333333</v>
      </c>
      <c r="I127" s="43">
        <v>606</v>
      </c>
      <c r="J127" s="43">
        <f>IF(I127=50,10,1)</f>
        <v>1</v>
      </c>
      <c r="K127" s="43"/>
      <c r="L127" s="438">
        <f>IF($I127&lt;192,0,IF($I127&gt;597,0, IF(VLOOKUP($I127,'CIRS Table Info'!$B$6:$J$425,3,FALSE)="Co-Add", 0.5,1) * (400 + IF(VLOOKUP($I127,'CIRS Table Info'!$B$6:$J$425,5,FALSE)="Data",1800,0) + IF(VLOOKUP($I127,'CIRS Table Info'!$B$6:$J$425,7,FALSE)="Data",1800,0) )))</f>
        <v>0</v>
      </c>
      <c r="M127" s="438">
        <f>VLOOKUP($B127,'CIRS Table IDs'!$B$6:$M$1001,12,FALSE)</f>
        <v>0</v>
      </c>
      <c r="N127" s="436" t="str">
        <f t="shared" si="4"/>
        <v/>
      </c>
      <c r="Q127" s="49"/>
      <c r="R127" s="49"/>
      <c r="S127" s="49"/>
      <c r="T127" s="49"/>
    </row>
    <row r="128" spans="1:20" x14ac:dyDescent="0.2">
      <c r="A128" s="21">
        <v>53</v>
      </c>
      <c r="B128" s="45" t="s">
        <v>449</v>
      </c>
      <c r="C128" s="36">
        <v>2016</v>
      </c>
      <c r="D128" s="36">
        <v>351</v>
      </c>
      <c r="E128" s="37">
        <v>0.202083333333333</v>
      </c>
      <c r="F128" s="36">
        <v>2016</v>
      </c>
      <c r="G128" s="36">
        <v>351</v>
      </c>
      <c r="H128" s="37">
        <v>0.24374999999999999</v>
      </c>
      <c r="I128" s="43">
        <v>541</v>
      </c>
      <c r="J128" s="43">
        <v>1</v>
      </c>
      <c r="K128" s="43"/>
      <c r="L128" s="438">
        <f>IF($I128&lt;192,0,IF($I128&gt;597,0, IF(VLOOKUP($I128,'CIRS Table Info'!$B$6:$J$425,3,FALSE)="Co-Add", 0.5,1) * (400 + IF(VLOOKUP($I128,'CIRS Table Info'!$B$6:$J$425,5,FALSE)="Data",1800,0) + IF(VLOOKUP($I128,'CIRS Table Info'!$B$6:$J$425,7,FALSE)="Data",1800,0) )))</f>
        <v>4000</v>
      </c>
      <c r="M128" s="438">
        <f>VLOOKUP($B128,'CIRS Table IDs'!$B$6:$M$1001,12,FALSE)</f>
        <v>3600</v>
      </c>
      <c r="N128" s="436" t="str">
        <f t="shared" si="4"/>
        <v>Error</v>
      </c>
      <c r="Q128" s="49"/>
      <c r="R128" s="49"/>
      <c r="S128" s="49"/>
      <c r="T128" s="49"/>
    </row>
    <row r="129" spans="1:20" x14ac:dyDescent="0.2">
      <c r="A129" s="21"/>
      <c r="B129" s="45" t="s">
        <v>93</v>
      </c>
      <c r="C129" s="40">
        <v>2016</v>
      </c>
      <c r="D129" s="40">
        <f>IF(H128&gt;=$E463,G128,G128-1)</f>
        <v>351</v>
      </c>
      <c r="E129" s="37">
        <f>IF(H128-$E463&gt;0,H128-$E463,H128-$E463+$E469)</f>
        <v>0.24305555555555555</v>
      </c>
      <c r="F129" s="40">
        <v>2016</v>
      </c>
      <c r="G129" s="40">
        <v>351</v>
      </c>
      <c r="H129" s="37">
        <v>0.24374999999999999</v>
      </c>
      <c r="I129" s="43">
        <v>602</v>
      </c>
      <c r="J129" s="43">
        <f>IF(I129=50,10,1)</f>
        <v>1</v>
      </c>
      <c r="K129" s="43"/>
      <c r="L129" s="438">
        <f>IF($I129&lt;192,0,IF($I129&gt;597,0, IF(VLOOKUP($I129,'CIRS Table Info'!$B$6:$J$425,3,FALSE)="Co-Add", 0.5,1) * (400 + IF(VLOOKUP($I129,'CIRS Table Info'!$B$6:$J$425,5,FALSE)="Data",1800,0) + IF(VLOOKUP($I129,'CIRS Table Info'!$B$6:$J$425,7,FALSE)="Data",1800,0) )))</f>
        <v>0</v>
      </c>
      <c r="M129" s="438">
        <f>VLOOKUP($B129,'CIRS Table IDs'!$B$6:$M$1001,12,FALSE)</f>
        <v>0</v>
      </c>
      <c r="N129" s="436" t="str">
        <f t="shared" si="4"/>
        <v/>
      </c>
      <c r="Q129" s="49"/>
      <c r="R129" s="49"/>
      <c r="S129" s="49"/>
      <c r="T129" s="49"/>
    </row>
    <row r="130" spans="1:20" x14ac:dyDescent="0.2">
      <c r="A130" s="21">
        <v>54</v>
      </c>
      <c r="B130" s="45" t="s">
        <v>450</v>
      </c>
      <c r="C130" s="36">
        <v>2016</v>
      </c>
      <c r="D130" s="36">
        <v>351</v>
      </c>
      <c r="E130" s="37">
        <v>0.24374999999999999</v>
      </c>
      <c r="F130" s="36">
        <v>2016</v>
      </c>
      <c r="G130" s="36">
        <v>351</v>
      </c>
      <c r="H130" s="37">
        <v>0.30625000000000002</v>
      </c>
      <c r="I130" s="43">
        <v>467</v>
      </c>
      <c r="J130" s="43">
        <v>2</v>
      </c>
      <c r="K130" s="43"/>
      <c r="L130" s="438">
        <f>IF($I130&lt;192,0,IF($I130&gt;597,0, IF(VLOOKUP($I130,'CIRS Table Info'!$B$6:$J$425,3,FALSE)="Co-Add", 0.5,1) * (400 + IF(VLOOKUP($I130,'CIRS Table Info'!$B$6:$J$425,5,FALSE)="Data",1800,0) + IF(VLOOKUP($I130,'CIRS Table Info'!$B$6:$J$425,7,FALSE)="Data",1800,0) )))</f>
        <v>4000</v>
      </c>
      <c r="M130" s="438">
        <f>VLOOKUP($B130,'CIRS Table IDs'!$B$6:$M$1001,12,FALSE)</f>
        <v>3600</v>
      </c>
      <c r="N130" s="436" t="str">
        <f t="shared" si="4"/>
        <v>Error</v>
      </c>
      <c r="Q130" s="49"/>
      <c r="R130" s="49"/>
      <c r="S130" s="49"/>
      <c r="T130" s="49"/>
    </row>
    <row r="131" spans="1:20" x14ac:dyDescent="0.2">
      <c r="A131" s="21"/>
      <c r="B131" s="45" t="s">
        <v>94</v>
      </c>
      <c r="C131" s="40">
        <v>2016</v>
      </c>
      <c r="D131" s="40">
        <f>IF(H130&gt;=$E463,G130,G130-1)</f>
        <v>351</v>
      </c>
      <c r="E131" s="37">
        <f>IF(H130-$E463&gt;0,H130-$E463,H130-$E463+$E469)</f>
        <v>0.30555555555555558</v>
      </c>
      <c r="F131" s="40">
        <v>2016</v>
      </c>
      <c r="G131" s="40">
        <v>351</v>
      </c>
      <c r="H131" s="37">
        <v>0.30625000000000002</v>
      </c>
      <c r="I131" s="43">
        <v>606</v>
      </c>
      <c r="J131" s="43">
        <f>IF(I131=50,10,1)</f>
        <v>1</v>
      </c>
      <c r="K131" s="43"/>
      <c r="L131" s="438">
        <f>IF($I131&lt;192,0,IF($I131&gt;597,0, IF(VLOOKUP($I131,'CIRS Table Info'!$B$6:$J$425,3,FALSE)="Co-Add", 0.5,1) * (400 + IF(VLOOKUP($I131,'CIRS Table Info'!$B$6:$J$425,5,FALSE)="Data",1800,0) + IF(VLOOKUP($I131,'CIRS Table Info'!$B$6:$J$425,7,FALSE)="Data",1800,0) )))</f>
        <v>0</v>
      </c>
      <c r="M131" s="438">
        <f>VLOOKUP($B131,'CIRS Table IDs'!$B$6:$M$1001,12,FALSE)</f>
        <v>0</v>
      </c>
      <c r="N131" s="436" t="str">
        <f t="shared" si="4"/>
        <v/>
      </c>
      <c r="Q131" s="49"/>
      <c r="R131" s="49"/>
      <c r="S131" s="49"/>
      <c r="T131" s="49"/>
    </row>
    <row r="132" spans="1:20" x14ac:dyDescent="0.2">
      <c r="A132" s="21">
        <v>55</v>
      </c>
      <c r="B132" s="45" t="s">
        <v>451</v>
      </c>
      <c r="C132" s="36">
        <v>2016</v>
      </c>
      <c r="D132" s="36">
        <v>351</v>
      </c>
      <c r="E132" s="37">
        <v>0.30625000000000002</v>
      </c>
      <c r="F132" s="36">
        <v>2016</v>
      </c>
      <c r="G132" s="36">
        <v>351</v>
      </c>
      <c r="H132" s="37">
        <v>0.34791666666666698</v>
      </c>
      <c r="I132" s="43">
        <v>491</v>
      </c>
      <c r="J132" s="43">
        <v>1</v>
      </c>
      <c r="K132" s="43"/>
      <c r="L132" s="438">
        <f>IF($I132&lt;192,0,IF($I132&gt;597,0, IF(VLOOKUP($I132,'CIRS Table Info'!$B$6:$J$425,3,FALSE)="Co-Add", 0.5,1) * (400 + IF(VLOOKUP($I132,'CIRS Table Info'!$B$6:$J$425,5,FALSE)="Data",1800,0) + IF(VLOOKUP($I132,'CIRS Table Info'!$B$6:$J$425,7,FALSE)="Data",1800,0) )))</f>
        <v>4000</v>
      </c>
      <c r="M132" s="438">
        <f>VLOOKUP($B132,'CIRS Table IDs'!$B$6:$M$1001,12,FALSE)</f>
        <v>3600</v>
      </c>
      <c r="N132" s="436" t="str">
        <f t="shared" si="4"/>
        <v>Error</v>
      </c>
      <c r="Q132" s="49"/>
      <c r="R132" s="49"/>
      <c r="S132" s="49"/>
      <c r="T132" s="49"/>
    </row>
    <row r="133" spans="1:20" x14ac:dyDescent="0.2">
      <c r="A133" s="21"/>
      <c r="B133" s="45" t="s">
        <v>95</v>
      </c>
      <c r="C133" s="40">
        <v>2016</v>
      </c>
      <c r="D133" s="40">
        <f>IF(H132&gt;=$E463,G132,G132-1)</f>
        <v>351</v>
      </c>
      <c r="E133" s="37">
        <f>IF(H132-$E463&gt;0,H132-$E463,H132-$E463+$E469)</f>
        <v>0.34722222222222254</v>
      </c>
      <c r="F133" s="40">
        <v>2016</v>
      </c>
      <c r="G133" s="40">
        <v>351</v>
      </c>
      <c r="H133" s="37">
        <v>0.34791666666666698</v>
      </c>
      <c r="I133" s="43">
        <v>602</v>
      </c>
      <c r="J133" s="43">
        <f>IF(I133=50,10,1)</f>
        <v>1</v>
      </c>
      <c r="K133" s="43"/>
      <c r="L133" s="438">
        <f>IF($I133&lt;192,0,IF($I133&gt;597,0, IF(VLOOKUP($I133,'CIRS Table Info'!$B$6:$J$425,3,FALSE)="Co-Add", 0.5,1) * (400 + IF(VLOOKUP($I133,'CIRS Table Info'!$B$6:$J$425,5,FALSE)="Data",1800,0) + IF(VLOOKUP($I133,'CIRS Table Info'!$B$6:$J$425,7,FALSE)="Data",1800,0) )))</f>
        <v>0</v>
      </c>
      <c r="M133" s="438">
        <f>VLOOKUP($B133,'CIRS Table IDs'!$B$6:$M$1001,12,FALSE)</f>
        <v>0</v>
      </c>
      <c r="N133" s="436" t="str">
        <f t="shared" si="4"/>
        <v/>
      </c>
      <c r="Q133" s="49"/>
      <c r="R133" s="49"/>
      <c r="S133" s="49"/>
      <c r="T133" s="49"/>
    </row>
    <row r="134" spans="1:20" x14ac:dyDescent="0.2">
      <c r="A134" s="21">
        <v>56</v>
      </c>
      <c r="B134" s="45" t="s">
        <v>452</v>
      </c>
      <c r="C134" s="36">
        <v>2016</v>
      </c>
      <c r="D134" s="36">
        <v>351</v>
      </c>
      <c r="E134" s="37">
        <v>0.34791666666666698</v>
      </c>
      <c r="F134" s="36">
        <v>2016</v>
      </c>
      <c r="G134" s="36">
        <v>351</v>
      </c>
      <c r="H134" s="37">
        <v>0.43958333333333299</v>
      </c>
      <c r="I134" s="43">
        <v>467</v>
      </c>
      <c r="J134" s="43">
        <v>2</v>
      </c>
      <c r="K134" s="43"/>
      <c r="L134" s="438">
        <f>IF($I134&lt;192,0,IF($I134&gt;597,0, IF(VLOOKUP($I134,'CIRS Table Info'!$B$6:$J$425,3,FALSE)="Co-Add", 0.5,1) * (400 + IF(VLOOKUP($I134,'CIRS Table Info'!$B$6:$J$425,5,FALSE)="Data",1800,0) + IF(VLOOKUP($I134,'CIRS Table Info'!$B$6:$J$425,7,FALSE)="Data",1800,0) )))</f>
        <v>4000</v>
      </c>
      <c r="M134" s="438">
        <f>VLOOKUP($B134,'CIRS Table IDs'!$B$6:$M$1001,12,FALSE)</f>
        <v>3600</v>
      </c>
      <c r="N134" s="436" t="str">
        <f t="shared" si="4"/>
        <v>Error</v>
      </c>
      <c r="Q134" s="49"/>
      <c r="R134" s="49"/>
      <c r="S134" s="49"/>
      <c r="T134" s="49"/>
    </row>
    <row r="135" spans="1:20" x14ac:dyDescent="0.2">
      <c r="A135" s="21"/>
      <c r="B135" s="45" t="s">
        <v>96</v>
      </c>
      <c r="C135" s="40">
        <v>2016</v>
      </c>
      <c r="D135" s="40">
        <f>IF(H134&gt;=$E463,G134,G134-1)</f>
        <v>351</v>
      </c>
      <c r="E135" s="37">
        <f>IF(H134-$E463&gt;0,H134-$E463,H134-$E463+$E469)</f>
        <v>0.43888888888888855</v>
      </c>
      <c r="F135" s="40">
        <v>2016</v>
      </c>
      <c r="G135" s="40">
        <v>351</v>
      </c>
      <c r="H135" s="37">
        <v>0.43958333333333299</v>
      </c>
      <c r="I135" s="43">
        <v>606</v>
      </c>
      <c r="J135" s="43">
        <f>IF(I135=50,10,1)</f>
        <v>1</v>
      </c>
      <c r="K135" s="43"/>
      <c r="L135" s="438">
        <f>IF($I135&lt;192,0,IF($I135&gt;597,0, IF(VLOOKUP($I135,'CIRS Table Info'!$B$6:$J$425,3,FALSE)="Co-Add", 0.5,1) * (400 + IF(VLOOKUP($I135,'CIRS Table Info'!$B$6:$J$425,5,FALSE)="Data",1800,0) + IF(VLOOKUP($I135,'CIRS Table Info'!$B$6:$J$425,7,FALSE)="Data",1800,0) )))</f>
        <v>0</v>
      </c>
      <c r="M135" s="438">
        <f>VLOOKUP($B135,'CIRS Table IDs'!$B$6:$M$1001,12,FALSE)</f>
        <v>0</v>
      </c>
      <c r="N135" s="436" t="str">
        <f t="shared" si="4"/>
        <v/>
      </c>
      <c r="Q135" s="49"/>
      <c r="R135" s="49"/>
      <c r="S135" s="49"/>
      <c r="T135" s="49"/>
    </row>
    <row r="136" spans="1:20" x14ac:dyDescent="0.2">
      <c r="A136" s="21">
        <v>57</v>
      </c>
      <c r="B136" s="45" t="s">
        <v>453</v>
      </c>
      <c r="C136" s="36">
        <v>2016</v>
      </c>
      <c r="D136" s="36">
        <v>351</v>
      </c>
      <c r="E136" s="37">
        <v>0.43958333333333299</v>
      </c>
      <c r="F136" s="36">
        <v>2016</v>
      </c>
      <c r="G136" s="36">
        <v>351</v>
      </c>
      <c r="H136" s="37">
        <v>0.48125000000000001</v>
      </c>
      <c r="I136" s="43">
        <v>491</v>
      </c>
      <c r="J136" s="43">
        <v>1</v>
      </c>
      <c r="K136" s="43"/>
      <c r="L136" s="438">
        <f>IF($I136&lt;192,0,IF($I136&gt;597,0, IF(VLOOKUP($I136,'CIRS Table Info'!$B$6:$J$425,3,FALSE)="Co-Add", 0.5,1) * (400 + IF(VLOOKUP($I136,'CIRS Table Info'!$B$6:$J$425,5,FALSE)="Data",1800,0) + IF(VLOOKUP($I136,'CIRS Table Info'!$B$6:$J$425,7,FALSE)="Data",1800,0) )))</f>
        <v>4000</v>
      </c>
      <c r="M136" s="438">
        <f>VLOOKUP($B136,'CIRS Table IDs'!$B$6:$M$1001,12,FALSE)</f>
        <v>3600</v>
      </c>
      <c r="N136" s="436" t="str">
        <f t="shared" si="4"/>
        <v>Error</v>
      </c>
      <c r="Q136" s="49"/>
      <c r="R136" s="49"/>
      <c r="S136" s="49"/>
      <c r="T136" s="49"/>
    </row>
    <row r="137" spans="1:20" x14ac:dyDescent="0.2">
      <c r="A137" s="21"/>
      <c r="B137" s="45" t="s">
        <v>97</v>
      </c>
      <c r="C137" s="40">
        <v>2016</v>
      </c>
      <c r="D137" s="40">
        <f>IF(H136&gt;=$E463,G136,G136-1)</f>
        <v>351</v>
      </c>
      <c r="E137" s="37">
        <f>IF(H136-$E463&gt;0,H136-$E463,H136-$E463+$E469)</f>
        <v>0.48055555555555557</v>
      </c>
      <c r="F137" s="40">
        <v>2016</v>
      </c>
      <c r="G137" s="40">
        <v>351</v>
      </c>
      <c r="H137" s="37">
        <v>0.61319444444444404</v>
      </c>
      <c r="I137" s="43">
        <v>50</v>
      </c>
      <c r="J137" s="43">
        <f>IF(I137=50,10,1)</f>
        <v>10</v>
      </c>
      <c r="K137" s="43"/>
      <c r="L137" s="438">
        <f>IF($I137&lt;192,0,IF($I137&gt;597,0, IF(VLOOKUP($I137,'CIRS Table Info'!$B$6:$J$425,3,FALSE)="Co-Add", 0.5,1) * (400 + IF(VLOOKUP($I137,'CIRS Table Info'!$B$6:$J$425,5,FALSE)="Data",1800,0) + IF(VLOOKUP($I137,'CIRS Table Info'!$B$6:$J$425,7,FALSE)="Data",1800,0) )))</f>
        <v>0</v>
      </c>
      <c r="M137" s="438">
        <f>VLOOKUP($B137,'CIRS Table IDs'!$B$6:$M$1001,12,FALSE)</f>
        <v>0</v>
      </c>
      <c r="N137" s="436" t="str">
        <f t="shared" si="4"/>
        <v/>
      </c>
      <c r="Q137" s="49"/>
      <c r="R137" s="49"/>
      <c r="S137" s="49"/>
      <c r="T137" s="49"/>
    </row>
    <row r="138" spans="1:20" x14ac:dyDescent="0.2">
      <c r="A138" s="21">
        <v>58</v>
      </c>
      <c r="B138" s="45" t="s">
        <v>454</v>
      </c>
      <c r="C138" s="36">
        <v>2016</v>
      </c>
      <c r="D138" s="36">
        <v>351</v>
      </c>
      <c r="E138" s="37">
        <v>0.61319444444444404</v>
      </c>
      <c r="F138" s="36">
        <v>2016</v>
      </c>
      <c r="G138" s="36">
        <v>351</v>
      </c>
      <c r="H138" s="37">
        <v>0.90486111111111101</v>
      </c>
      <c r="I138" s="43">
        <v>807</v>
      </c>
      <c r="J138" s="43">
        <f>IF(I138=50,10,1)</f>
        <v>1</v>
      </c>
      <c r="K138" s="43"/>
      <c r="L138" s="438">
        <f>IF($I138&lt;192,0,IF($I138&gt;597,0, IF(VLOOKUP($I138,'CIRS Table Info'!$B$6:$J$425,3,FALSE)="Co-Add", 0.5,1) * (400 + IF(VLOOKUP($I138,'CIRS Table Info'!$B$6:$J$425,5,FALSE)="Data",1800,0) + IF(VLOOKUP($I138,'CIRS Table Info'!$B$6:$J$425,7,FALSE)="Data",1800,0) )))</f>
        <v>0</v>
      </c>
      <c r="M138" s="438">
        <f>VLOOKUP($B138,'CIRS Table IDs'!$B$6:$M$1001,12,FALSE)</f>
        <v>3000</v>
      </c>
      <c r="N138" s="436" t="str">
        <f t="shared" si="4"/>
        <v/>
      </c>
      <c r="Q138" s="49"/>
      <c r="R138" s="49"/>
      <c r="S138" s="49"/>
      <c r="T138" s="49"/>
    </row>
    <row r="139" spans="1:20" x14ac:dyDescent="0.2">
      <c r="A139" s="21"/>
      <c r="B139" s="45" t="s">
        <v>98</v>
      </c>
      <c r="C139" s="40">
        <v>2016</v>
      </c>
      <c r="D139" s="40">
        <f>IF(H138&gt;=$E463,G138,G138-1)</f>
        <v>351</v>
      </c>
      <c r="E139" s="37">
        <f>IF(H138-$E463&gt;0,H138-$E463,H138-$E463+$E469)</f>
        <v>0.90416666666666656</v>
      </c>
      <c r="F139" s="40">
        <v>2016</v>
      </c>
      <c r="G139" s="40">
        <v>351</v>
      </c>
      <c r="H139" s="37">
        <v>0.90486111111111101</v>
      </c>
      <c r="I139" s="43">
        <v>600</v>
      </c>
      <c r="J139" s="43">
        <f>IF(I139=50,10,1)</f>
        <v>1</v>
      </c>
      <c r="K139" s="43"/>
      <c r="L139" s="438">
        <f>IF($I139&lt;192,0,IF($I139&gt;597,0, IF(VLOOKUP($I139,'CIRS Table Info'!$B$6:$J$425,3,FALSE)="Co-Add", 0.5,1) * (400 + IF(VLOOKUP($I139,'CIRS Table Info'!$B$6:$J$425,5,FALSE)="Data",1800,0) + IF(VLOOKUP($I139,'CIRS Table Info'!$B$6:$J$425,7,FALSE)="Data",1800,0) )))</f>
        <v>0</v>
      </c>
      <c r="M139" s="438">
        <f>VLOOKUP($B139,'CIRS Table IDs'!$B$6:$M$1001,12,FALSE)</f>
        <v>0</v>
      </c>
      <c r="N139" s="436" t="str">
        <f t="shared" si="4"/>
        <v/>
      </c>
      <c r="Q139" s="49"/>
      <c r="R139" s="49"/>
      <c r="S139" s="49"/>
      <c r="T139" s="49"/>
    </row>
    <row r="140" spans="1:20" x14ac:dyDescent="0.2">
      <c r="A140" s="21">
        <v>59</v>
      </c>
      <c r="B140" s="45" t="s">
        <v>455</v>
      </c>
      <c r="C140" s="36">
        <v>2016</v>
      </c>
      <c r="D140" s="36">
        <v>351</v>
      </c>
      <c r="E140" s="37">
        <v>0.90486111111111101</v>
      </c>
      <c r="F140" s="36">
        <v>2016</v>
      </c>
      <c r="G140" s="36">
        <v>352</v>
      </c>
      <c r="H140" s="37">
        <v>0.69652777777777797</v>
      </c>
      <c r="I140" s="43">
        <v>192</v>
      </c>
      <c r="J140" s="43">
        <v>1</v>
      </c>
      <c r="K140" s="43"/>
      <c r="L140" s="438">
        <f>IF($I140&lt;192,0,IF($I140&gt;597,0, IF(VLOOKUP($I140,'CIRS Table Info'!$B$6:$J$425,3,FALSE)="Co-Add", 0.5,1) * (400 + IF(VLOOKUP($I140,'CIRS Table Info'!$B$6:$J$425,5,FALSE)="Data",1800,0) + IF(VLOOKUP($I140,'CIRS Table Info'!$B$6:$J$425,7,FALSE)="Data",1800,0) )))</f>
        <v>400</v>
      </c>
      <c r="M140" s="438">
        <f>VLOOKUP($B140,'CIRS Table IDs'!$B$6:$M$1001,12,FALSE)</f>
        <v>400</v>
      </c>
      <c r="N140" s="436" t="str">
        <f t="shared" si="4"/>
        <v/>
      </c>
      <c r="Q140" s="49"/>
      <c r="R140" s="49"/>
      <c r="S140" s="49"/>
      <c r="T140" s="49"/>
    </row>
    <row r="141" spans="1:20" x14ac:dyDescent="0.2">
      <c r="A141" s="21"/>
      <c r="B141" s="45" t="s">
        <v>99</v>
      </c>
      <c r="C141" s="40">
        <v>2016</v>
      </c>
      <c r="D141" s="40">
        <f>IF(H140&gt;=$E463,G140,G140-1)</f>
        <v>352</v>
      </c>
      <c r="E141" s="37">
        <f>IF(H140-$E463&gt;0,H140-$E463,H140-$E463+$E469)</f>
        <v>0.69583333333333353</v>
      </c>
      <c r="F141" s="40">
        <v>2016</v>
      </c>
      <c r="G141" s="40">
        <v>352</v>
      </c>
      <c r="H141" s="37">
        <v>0.81458333333333299</v>
      </c>
      <c r="I141" s="43">
        <v>50</v>
      </c>
      <c r="J141" s="43">
        <f>IF(I141=50,10,1)</f>
        <v>10</v>
      </c>
      <c r="K141" s="43"/>
      <c r="L141" s="438">
        <f>IF($I141&lt;192,0,IF($I141&gt;597,0, IF(VLOOKUP($I141,'CIRS Table Info'!$B$6:$J$425,3,FALSE)="Co-Add", 0.5,1) * (400 + IF(VLOOKUP($I141,'CIRS Table Info'!$B$6:$J$425,5,FALSE)="Data",1800,0) + IF(VLOOKUP($I141,'CIRS Table Info'!$B$6:$J$425,7,FALSE)="Data",1800,0) )))</f>
        <v>0</v>
      </c>
      <c r="M141" s="438">
        <f>VLOOKUP($B141,'CIRS Table IDs'!$B$6:$M$1001,12,FALSE)</f>
        <v>0</v>
      </c>
      <c r="N141" s="436" t="str">
        <f t="shared" si="4"/>
        <v/>
      </c>
      <c r="Q141" s="49"/>
      <c r="R141" s="49"/>
      <c r="S141" s="49"/>
      <c r="T141" s="49"/>
    </row>
    <row r="142" spans="1:20" x14ac:dyDescent="0.2">
      <c r="A142" s="21">
        <v>60</v>
      </c>
      <c r="B142" s="45" t="s">
        <v>456</v>
      </c>
      <c r="C142" s="36">
        <v>2016</v>
      </c>
      <c r="D142" s="36">
        <v>352</v>
      </c>
      <c r="E142" s="37">
        <v>0.81458333333333299</v>
      </c>
      <c r="F142" s="36">
        <v>2016</v>
      </c>
      <c r="G142" s="36">
        <v>353</v>
      </c>
      <c r="H142" s="37">
        <v>0.13750000000000001</v>
      </c>
      <c r="I142" s="43">
        <v>809</v>
      </c>
      <c r="J142" s="43">
        <f>IF(I142=50,10,1)</f>
        <v>1</v>
      </c>
      <c r="K142" s="43"/>
      <c r="L142" s="438">
        <f>IF($I142&lt;192,0,IF($I142&gt;597,0, IF(VLOOKUP($I142,'CIRS Table Info'!$B$6:$J$425,3,FALSE)="Co-Add", 0.5,1) * (400 + IF(VLOOKUP($I142,'CIRS Table Info'!$B$6:$J$425,5,FALSE)="Data",1800,0) + IF(VLOOKUP($I142,'CIRS Table Info'!$B$6:$J$425,7,FALSE)="Data",1800,0) )))</f>
        <v>0</v>
      </c>
      <c r="M142" s="438">
        <f>VLOOKUP($B142,'CIRS Table IDs'!$B$6:$M$1001,12,FALSE)</f>
        <v>3000</v>
      </c>
      <c r="N142" s="436" t="str">
        <f t="shared" ref="N142:N196" si="7">IF(L142=M142,"",IF(RIGHT(B142,3)="_SP","",IF(I142&lt;700,"Error","Warning")))</f>
        <v/>
      </c>
      <c r="Q142" s="49"/>
      <c r="R142" s="49"/>
      <c r="S142" s="49"/>
      <c r="T142" s="49"/>
    </row>
    <row r="143" spans="1:20" x14ac:dyDescent="0.2">
      <c r="A143" s="21"/>
      <c r="B143" s="45" t="s">
        <v>100</v>
      </c>
      <c r="C143" s="40">
        <v>2016</v>
      </c>
      <c r="D143" s="40">
        <f>IF(H142&gt;=$E463,G142,G142-1)</f>
        <v>353</v>
      </c>
      <c r="E143" s="37">
        <f>IF(H142-$E463&gt;0,H142-$E463,H142-$E463+$E469)</f>
        <v>0.13680555555555557</v>
      </c>
      <c r="F143" s="40">
        <v>2016</v>
      </c>
      <c r="G143" s="40">
        <v>353</v>
      </c>
      <c r="H143" s="37">
        <v>0.17569444444444399</v>
      </c>
      <c r="I143" s="43">
        <v>606</v>
      </c>
      <c r="J143" s="43">
        <f>IF(I143=50,10,1)</f>
        <v>1</v>
      </c>
      <c r="K143" s="43"/>
      <c r="L143" s="438">
        <f>IF($I143&lt;192,0,IF($I143&gt;597,0, IF(VLOOKUP($I143,'CIRS Table Info'!$B$6:$J$425,3,FALSE)="Co-Add", 0.5,1) * (400 + IF(VLOOKUP($I143,'CIRS Table Info'!$B$6:$J$425,5,FALSE)="Data",1800,0) + IF(VLOOKUP($I143,'CIRS Table Info'!$B$6:$J$425,7,FALSE)="Data",1800,0) )))</f>
        <v>0</v>
      </c>
      <c r="M143" s="438">
        <f>VLOOKUP($B143,'CIRS Table IDs'!$B$6:$M$1001,12,FALSE)</f>
        <v>0</v>
      </c>
      <c r="N143" s="436" t="str">
        <f t="shared" si="7"/>
        <v/>
      </c>
      <c r="Q143" s="49"/>
      <c r="R143" s="49"/>
      <c r="S143" s="49"/>
      <c r="T143" s="49"/>
    </row>
    <row r="144" spans="1:20" x14ac:dyDescent="0.2">
      <c r="A144" s="21">
        <v>61</v>
      </c>
      <c r="B144" s="45" t="s">
        <v>457</v>
      </c>
      <c r="C144" s="36">
        <v>2016</v>
      </c>
      <c r="D144" s="36">
        <v>353</v>
      </c>
      <c r="E144" s="37">
        <v>0.17569444444444399</v>
      </c>
      <c r="F144" s="36">
        <v>2016</v>
      </c>
      <c r="G144" s="36">
        <v>353</v>
      </c>
      <c r="H144" s="37">
        <v>0.25902777777777802</v>
      </c>
      <c r="I144" s="43">
        <v>341</v>
      </c>
      <c r="J144" s="43">
        <v>1</v>
      </c>
      <c r="K144" s="43"/>
      <c r="L144" s="438">
        <f>IF($I144&lt;192,0,IF($I144&gt;597,0, IF(VLOOKUP($I144,'CIRS Table Info'!$B$6:$J$425,3,FALSE)="Co-Add", 0.5,1) * (400 + IF(VLOOKUP($I144,'CIRS Table Info'!$B$6:$J$425,5,FALSE)="Data",1800,0) + IF(VLOOKUP($I144,'CIRS Table Info'!$B$6:$J$425,7,FALSE)="Data",1800,0) )))</f>
        <v>4000</v>
      </c>
      <c r="M144" s="438">
        <f>VLOOKUP($B144,'CIRS Table IDs'!$B$6:$M$1001,12,FALSE)</f>
        <v>4000</v>
      </c>
      <c r="N144" s="436" t="str">
        <f t="shared" si="7"/>
        <v/>
      </c>
      <c r="Q144" s="49"/>
      <c r="R144" s="49"/>
      <c r="S144" s="49"/>
      <c r="T144" s="49"/>
    </row>
    <row r="145" spans="1:20" x14ac:dyDescent="0.2">
      <c r="A145" s="21"/>
      <c r="B145" s="45" t="s">
        <v>101</v>
      </c>
      <c r="C145" s="40">
        <v>2016</v>
      </c>
      <c r="D145" s="40">
        <f>IF(H144&gt;=$E463,G144,G144-1)</f>
        <v>353</v>
      </c>
      <c r="E145" s="37">
        <f>IF(H144-$E463&gt;0,H144-$E463,H144-$E463+$E469)</f>
        <v>0.25833333333333358</v>
      </c>
      <c r="F145" s="40">
        <v>2016</v>
      </c>
      <c r="G145" s="40">
        <v>353</v>
      </c>
      <c r="H145" s="37">
        <v>0.25902777777777802</v>
      </c>
      <c r="I145" s="43">
        <v>600</v>
      </c>
      <c r="J145" s="43">
        <f>IF(I145=50,10,1)</f>
        <v>1</v>
      </c>
      <c r="K145" s="43"/>
      <c r="L145" s="438">
        <f>IF($I145&lt;192,0,IF($I145&gt;597,0, IF(VLOOKUP($I145,'CIRS Table Info'!$B$6:$J$425,3,FALSE)="Co-Add", 0.5,1) * (400 + IF(VLOOKUP($I145,'CIRS Table Info'!$B$6:$J$425,5,FALSE)="Data",1800,0) + IF(VLOOKUP($I145,'CIRS Table Info'!$B$6:$J$425,7,FALSE)="Data",1800,0) )))</f>
        <v>0</v>
      </c>
      <c r="M145" s="438">
        <f>VLOOKUP($B145,'CIRS Table IDs'!$B$6:$M$1001,12,FALSE)</f>
        <v>0</v>
      </c>
      <c r="N145" s="436" t="str">
        <f t="shared" si="7"/>
        <v/>
      </c>
      <c r="Q145" s="49"/>
      <c r="R145" s="49"/>
      <c r="S145" s="49"/>
      <c r="T145" s="49"/>
    </row>
    <row r="146" spans="1:20" x14ac:dyDescent="0.2">
      <c r="A146" s="21">
        <v>62</v>
      </c>
      <c r="B146" s="45" t="s">
        <v>458</v>
      </c>
      <c r="C146" s="36">
        <v>2016</v>
      </c>
      <c r="D146" s="36">
        <v>353</v>
      </c>
      <c r="E146" s="37">
        <v>0.25902777777777802</v>
      </c>
      <c r="F146" s="36">
        <f>IF($G146&gt;=$D146,$C146,$C146+1)</f>
        <v>2016</v>
      </c>
      <c r="G146" s="36">
        <f>IF(MOD($C$5,4)&lt;&gt;0,IF($D146+IF($H146&gt;=$E146,0,IF($H146+$E469&gt;=$E146,1,2))&gt;365,1,$D146+IF($H146&gt;=$E146,0,IF($H146+$E469&gt;=$E146,1,2))),IF($D146+IF($H146&gt;=$E146,0,IF($H146+$E469&gt;=$E146,1,2))&gt;366,1,$D146+IF($H146&gt;=$E146,0,IF($H146+$E469&gt;=$E146,1,2))))</f>
        <v>353</v>
      </c>
      <c r="H146" s="37">
        <f>IF(E146 + TIMEVALUE("00:02:10")&gt;=1,E146 + TIMEVALUE("00:02:10")-1,E146 + TIMEVALUE("00:02:10"))</f>
        <v>0.26053240740740763</v>
      </c>
      <c r="I146" s="496">
        <v>203</v>
      </c>
      <c r="J146" s="43">
        <v>1</v>
      </c>
      <c r="K146" s="43"/>
      <c r="L146" s="438">
        <f>IF($I146&lt;192,0,IF($I146&gt;597,0, IF(VLOOKUP($I146,'CIRS Table Info'!$B$6:$J$425,3,FALSE)="Co-Add", 0.5,1) * (400 + IF(VLOOKUP($I146,'CIRS Table Info'!$B$6:$J$425,5,FALSE)="Data",1800,0) + IF(VLOOKUP($I146,'CIRS Table Info'!$B$6:$J$425,7,FALSE)="Data",1800,0) )))</f>
        <v>2200</v>
      </c>
      <c r="M146" s="438">
        <f>VLOOKUP($B146,'CIRS Table IDs'!$B$6:$M$1001,12,FALSE)</f>
        <v>2200</v>
      </c>
      <c r="N146" s="436" t="str">
        <f t="shared" si="7"/>
        <v/>
      </c>
      <c r="Q146" s="49"/>
      <c r="R146" s="49"/>
      <c r="S146" s="49"/>
      <c r="T146" s="49"/>
    </row>
    <row r="147" spans="1:20" x14ac:dyDescent="0.2">
      <c r="A147" s="21"/>
      <c r="B147" s="45" t="s">
        <v>458</v>
      </c>
      <c r="C147" s="36">
        <f>$F146</f>
        <v>2016</v>
      </c>
      <c r="D147" s="36">
        <f>$G146</f>
        <v>353</v>
      </c>
      <c r="E147" s="37">
        <f>IF(E146 + TIMEVALUE("00:02:10")&gt;=1,E146 + TIMEVALUE("00:02:10")-1,E146 + TIMEVALUE("00:02:10"))</f>
        <v>0.26053240740740763</v>
      </c>
      <c r="F147" s="36">
        <f>IF($G147&gt;=$D147,$C147,$C147+1)</f>
        <v>2016</v>
      </c>
      <c r="G147" s="36">
        <f>IF(0.45 - TIMEVALUE("00:03:10")&gt;=0, 353, 352)</f>
        <v>353</v>
      </c>
      <c r="H147" s="37">
        <f>IF(0.45 - TIMEVALUE("00:03:10")&gt;=0, 0.45 - TIMEVALUE("00:03:10"), 0.45 - TIMEVALUE("00:03:10") +$E469)</f>
        <v>0.44780092592592596</v>
      </c>
      <c r="I147" s="496">
        <v>200</v>
      </c>
      <c r="J147" s="43">
        <v>1</v>
      </c>
      <c r="K147" s="43"/>
      <c r="L147" s="438">
        <f>IF($I147&lt;192,0,IF($I147&gt;597,0, IF(VLOOKUP($I147,'CIRS Table Info'!$B$6:$J$425,3,FALSE)="Co-Add", 0.5,1) * (400 + IF(VLOOKUP($I147,'CIRS Table Info'!$B$6:$J$425,5,FALSE)="Data",1800,0) + IF(VLOOKUP($I147,'CIRS Table Info'!$B$6:$J$425,7,FALSE)="Data",1800,0) )))</f>
        <v>2200</v>
      </c>
      <c r="M147" s="438">
        <f>VLOOKUP($B147,'CIRS Table IDs'!$B$6:$M$1001,12,FALSE)</f>
        <v>2200</v>
      </c>
      <c r="N147" s="436" t="str">
        <f t="shared" si="7"/>
        <v/>
      </c>
      <c r="Q147" s="49"/>
      <c r="R147" s="49"/>
      <c r="S147" s="49"/>
      <c r="T147" s="49"/>
    </row>
    <row r="148" spans="1:20" x14ac:dyDescent="0.2">
      <c r="A148" s="21"/>
      <c r="B148" s="45" t="s">
        <v>458</v>
      </c>
      <c r="C148" s="36">
        <f>$F147</f>
        <v>2016</v>
      </c>
      <c r="D148" s="36">
        <f>$G147</f>
        <v>353</v>
      </c>
      <c r="E148" s="37">
        <f>IF(0.45 - TIMEVALUE("00:03:10")&gt;=0, 0.45 - TIMEVALUE("00:03:10"), 0.45 - TIMEVALUE("00:03:10") +$E469)</f>
        <v>0.44780092592592596</v>
      </c>
      <c r="F148" s="36">
        <f>IF($G148&gt;=$D148,$C148,$C148+1)</f>
        <v>2016</v>
      </c>
      <c r="G148" s="36">
        <v>353</v>
      </c>
      <c r="H148" s="37">
        <v>0.45</v>
      </c>
      <c r="I148" s="496">
        <v>203</v>
      </c>
      <c r="J148" s="43">
        <v>1</v>
      </c>
      <c r="K148" s="43"/>
      <c r="L148" s="438">
        <f>IF($I148&lt;192,0,IF($I148&gt;597,0, IF(VLOOKUP($I148,'CIRS Table Info'!$B$6:$J$425,3,FALSE)="Co-Add", 0.5,1) * (400 + IF(VLOOKUP($I148,'CIRS Table Info'!$B$6:$J$425,5,FALSE)="Data",1800,0) + IF(VLOOKUP($I148,'CIRS Table Info'!$B$6:$J$425,7,FALSE)="Data",1800,0) )))</f>
        <v>2200</v>
      </c>
      <c r="M148" s="438">
        <f>VLOOKUP($B148,'CIRS Table IDs'!$B$6:$M$1001,12,FALSE)</f>
        <v>2200</v>
      </c>
      <c r="N148" s="436" t="str">
        <f t="shared" si="7"/>
        <v/>
      </c>
      <c r="Q148" s="49"/>
      <c r="R148" s="49"/>
      <c r="S148" s="49"/>
      <c r="T148" s="49"/>
    </row>
    <row r="149" spans="1:20" x14ac:dyDescent="0.2">
      <c r="A149" s="21"/>
      <c r="B149" s="45" t="s">
        <v>102</v>
      </c>
      <c r="C149" s="36">
        <v>2016</v>
      </c>
      <c r="D149" s="36">
        <f>IF(H148&gt;=$E463,G148,G148-1)</f>
        <v>353</v>
      </c>
      <c r="E149" s="37">
        <f>IF(H148-$E463&gt;0,H148-$E463,H148-$E463+$E469)</f>
        <v>0.44930555555555557</v>
      </c>
      <c r="F149" s="40">
        <v>2016</v>
      </c>
      <c r="G149" s="40">
        <v>353</v>
      </c>
      <c r="H149" s="37">
        <v>0.45</v>
      </c>
      <c r="I149" s="43">
        <v>600</v>
      </c>
      <c r="J149" s="43">
        <f>IF(I149=50,10,1)</f>
        <v>1</v>
      </c>
      <c r="K149" s="43"/>
      <c r="L149" s="438">
        <f>IF($I149&lt;192,0,IF($I149&gt;597,0, IF(VLOOKUP($I149,'CIRS Table Info'!$B$6:$J$425,3,FALSE)="Co-Add", 0.5,1) * (400 + IF(VLOOKUP($I149,'CIRS Table Info'!$B$6:$J$425,5,FALSE)="Data",1800,0) + IF(VLOOKUP($I149,'CIRS Table Info'!$B$6:$J$425,7,FALSE)="Data",1800,0) )))</f>
        <v>0</v>
      </c>
      <c r="M149" s="438">
        <f>VLOOKUP($B149,'CIRS Table IDs'!$B$6:$M$1001,12,FALSE)</f>
        <v>0</v>
      </c>
      <c r="N149" s="436" t="str">
        <f t="shared" si="7"/>
        <v/>
      </c>
      <c r="Q149" s="49"/>
      <c r="R149" s="49"/>
      <c r="S149" s="49"/>
      <c r="T149" s="49"/>
    </row>
    <row r="150" spans="1:20" x14ac:dyDescent="0.2">
      <c r="A150" s="21">
        <v>63</v>
      </c>
      <c r="B150" s="45" t="s">
        <v>460</v>
      </c>
      <c r="C150" s="36">
        <v>2016</v>
      </c>
      <c r="D150" s="36">
        <v>353</v>
      </c>
      <c r="E150" s="37">
        <v>0.45</v>
      </c>
      <c r="F150" s="36">
        <v>2016</v>
      </c>
      <c r="G150" s="36">
        <v>353</v>
      </c>
      <c r="H150" s="37">
        <v>0.60624999999999996</v>
      </c>
      <c r="I150" s="43">
        <v>192</v>
      </c>
      <c r="J150" s="43">
        <v>1</v>
      </c>
      <c r="K150" s="43"/>
      <c r="L150" s="438">
        <f>IF($I150&lt;192,0,IF($I150&gt;597,0, IF(VLOOKUP($I150,'CIRS Table Info'!$B$6:$J$425,3,FALSE)="Co-Add", 0.5,1) * (400 + IF(VLOOKUP($I150,'CIRS Table Info'!$B$6:$J$425,5,FALSE)="Data",1800,0) + IF(VLOOKUP($I150,'CIRS Table Info'!$B$6:$J$425,7,FALSE)="Data",1800,0) )))</f>
        <v>400</v>
      </c>
      <c r="M150" s="438">
        <f>VLOOKUP($B150,'CIRS Table IDs'!$B$6:$M$1001,12,FALSE)</f>
        <v>400</v>
      </c>
      <c r="N150" s="436" t="str">
        <f t="shared" si="7"/>
        <v/>
      </c>
      <c r="Q150" s="49"/>
      <c r="R150" s="49"/>
      <c r="S150" s="49"/>
      <c r="T150" s="49"/>
    </row>
    <row r="151" spans="1:20" x14ac:dyDescent="0.2">
      <c r="A151" s="21"/>
      <c r="B151" s="45" t="s">
        <v>103</v>
      </c>
      <c r="C151" s="40">
        <v>2016</v>
      </c>
      <c r="D151" s="40">
        <f>IF(H150&gt;=$E463,G150,G150-1)</f>
        <v>353</v>
      </c>
      <c r="E151" s="37">
        <f>IF(H150-$E463&gt;0,H150-$E463,H150-$E463+$E469)</f>
        <v>0.60555555555555551</v>
      </c>
      <c r="F151" s="40">
        <v>2016</v>
      </c>
      <c r="G151" s="40">
        <v>353</v>
      </c>
      <c r="H151" s="37">
        <v>0.60624999999999996</v>
      </c>
      <c r="I151" s="43">
        <v>600</v>
      </c>
      <c r="J151" s="43">
        <f>IF(I151=50,10,1)</f>
        <v>1</v>
      </c>
      <c r="K151" s="43"/>
      <c r="L151" s="438">
        <f>IF($I151&lt;192,0,IF($I151&gt;597,0, IF(VLOOKUP($I151,'CIRS Table Info'!$B$6:$J$425,3,FALSE)="Co-Add", 0.5,1) * (400 + IF(VLOOKUP($I151,'CIRS Table Info'!$B$6:$J$425,5,FALSE)="Data",1800,0) + IF(VLOOKUP($I151,'CIRS Table Info'!$B$6:$J$425,7,FALSE)="Data",1800,0) )))</f>
        <v>0</v>
      </c>
      <c r="M151" s="438">
        <f>VLOOKUP($B151,'CIRS Table IDs'!$B$6:$M$1001,12,FALSE)</f>
        <v>0</v>
      </c>
      <c r="N151" s="436" t="str">
        <f t="shared" si="7"/>
        <v/>
      </c>
      <c r="Q151" s="49"/>
      <c r="R151" s="49"/>
      <c r="S151" s="49"/>
      <c r="T151" s="49"/>
    </row>
    <row r="152" spans="1:20" x14ac:dyDescent="0.2">
      <c r="A152" s="21">
        <v>64</v>
      </c>
      <c r="B152" s="45" t="s">
        <v>461</v>
      </c>
      <c r="C152" s="36">
        <v>2016</v>
      </c>
      <c r="D152" s="36">
        <v>353</v>
      </c>
      <c r="E152" s="37">
        <v>0.60624999999999996</v>
      </c>
      <c r="F152" s="36">
        <f>IF($G152&gt;=$D152,$C152,$C152+1)</f>
        <v>2016</v>
      </c>
      <c r="G152" s="36">
        <f>IF(MOD($C$5,4)&lt;&gt;0,IF($D152+IF($H152&gt;=$E152,0,IF($H152+$E469&gt;=$E152,1,2))&gt;365,1,$D152+IF($H152&gt;=$E152,0,IF($H152+$E469&gt;=$E152,1,2))),IF($D152+IF($H152&gt;=$E152,0,IF($H152+$E469&gt;=$E152,1,2))&gt;366,1,$D152+IF($H152&gt;=$E152,0,IF($H152+$E469&gt;=$E152,1,2))))</f>
        <v>353</v>
      </c>
      <c r="H152" s="37">
        <f>IF(E152 + TIMEVALUE("00:02:10")&gt;=1,E152 + TIMEVALUE("00:02:10")-1,E152 + TIMEVALUE("00:02:10"))</f>
        <v>0.60775462962962956</v>
      </c>
      <c r="I152" s="496">
        <v>203</v>
      </c>
      <c r="J152" s="43">
        <v>1</v>
      </c>
      <c r="K152" s="43"/>
      <c r="L152" s="438">
        <f>IF($I152&lt;192,0,IF($I152&gt;597,0, IF(VLOOKUP($I152,'CIRS Table Info'!$B$6:$J$425,3,FALSE)="Co-Add", 0.5,1) * (400 + IF(VLOOKUP($I152,'CIRS Table Info'!$B$6:$J$425,5,FALSE)="Data",1800,0) + IF(VLOOKUP($I152,'CIRS Table Info'!$B$6:$J$425,7,FALSE)="Data",1800,0) )))</f>
        <v>2200</v>
      </c>
      <c r="M152" s="438">
        <f>VLOOKUP($B152,'CIRS Table IDs'!$B$6:$M$1001,12,FALSE)</f>
        <v>2200</v>
      </c>
      <c r="N152" s="436" t="str">
        <f t="shared" si="7"/>
        <v/>
      </c>
      <c r="Q152" s="49"/>
      <c r="R152" s="49"/>
      <c r="S152" s="49"/>
      <c r="T152" s="49"/>
    </row>
    <row r="153" spans="1:20" x14ac:dyDescent="0.2">
      <c r="A153" s="21"/>
      <c r="B153" s="45" t="s">
        <v>461</v>
      </c>
      <c r="C153" s="36">
        <f>$F152</f>
        <v>2016</v>
      </c>
      <c r="D153" s="36">
        <f>$G152</f>
        <v>353</v>
      </c>
      <c r="E153" s="37">
        <f>IF(E152 + TIMEVALUE("00:02:10")&gt;=1,E152 + TIMEVALUE("00:02:10")-1,E152 + TIMEVALUE("00:02:10"))</f>
        <v>0.60775462962962956</v>
      </c>
      <c r="F153" s="36">
        <f>IF($G153&gt;=$D153,$C153,$C153+1)</f>
        <v>2016</v>
      </c>
      <c r="G153" s="36">
        <f>IF(0.769444444444444 - TIMEVALUE("00:03:10")&gt;=0, 353, 352)</f>
        <v>353</v>
      </c>
      <c r="H153" s="37">
        <f>IF(0.769444444444444 - TIMEVALUE("00:03:10")&gt;=0, 0.769444444444444 - TIMEVALUE("00:03:10"), 0.769444444444444 - TIMEVALUE("00:03:10") +$E469)</f>
        <v>0.76724537037036999</v>
      </c>
      <c r="I153" s="496">
        <v>200</v>
      </c>
      <c r="J153" s="43">
        <v>1</v>
      </c>
      <c r="K153" s="43"/>
      <c r="L153" s="438">
        <f>IF($I153&lt;192,0,IF($I153&gt;597,0, IF(VLOOKUP($I153,'CIRS Table Info'!$B$6:$J$425,3,FALSE)="Co-Add", 0.5,1) * (400 + IF(VLOOKUP($I153,'CIRS Table Info'!$B$6:$J$425,5,FALSE)="Data",1800,0) + IF(VLOOKUP($I153,'CIRS Table Info'!$B$6:$J$425,7,FALSE)="Data",1800,0) )))</f>
        <v>2200</v>
      </c>
      <c r="M153" s="438">
        <f>VLOOKUP($B153,'CIRS Table IDs'!$B$6:$M$1001,12,FALSE)</f>
        <v>2200</v>
      </c>
      <c r="N153" s="436" t="str">
        <f t="shared" si="7"/>
        <v/>
      </c>
      <c r="Q153" s="49"/>
      <c r="R153" s="49"/>
      <c r="S153" s="49"/>
      <c r="T153" s="49"/>
    </row>
    <row r="154" spans="1:20" x14ac:dyDescent="0.2">
      <c r="A154" s="21"/>
      <c r="B154" s="45" t="s">
        <v>461</v>
      </c>
      <c r="C154" s="36">
        <f>$F153</f>
        <v>2016</v>
      </c>
      <c r="D154" s="36">
        <f>$G153</f>
        <v>353</v>
      </c>
      <c r="E154" s="37">
        <f>IF(0.769444444444444 - TIMEVALUE("00:03:10")&gt;=0, 0.769444444444444 - TIMEVALUE("00:03:10"), 0.769444444444444 - TIMEVALUE("00:03:10") +$E469)</f>
        <v>0.76724537037036999</v>
      </c>
      <c r="F154" s="36">
        <f>IF($G154&gt;=$D154,$C154,$C154+1)</f>
        <v>2016</v>
      </c>
      <c r="G154" s="36">
        <v>353</v>
      </c>
      <c r="H154" s="37">
        <v>0.76944444444444404</v>
      </c>
      <c r="I154" s="496">
        <v>203</v>
      </c>
      <c r="J154" s="43">
        <v>1</v>
      </c>
      <c r="K154" s="43"/>
      <c r="L154" s="438">
        <f>IF($I154&lt;192,0,IF($I154&gt;597,0, IF(VLOOKUP($I154,'CIRS Table Info'!$B$6:$J$425,3,FALSE)="Co-Add", 0.5,1) * (400 + IF(VLOOKUP($I154,'CIRS Table Info'!$B$6:$J$425,5,FALSE)="Data",1800,0) + IF(VLOOKUP($I154,'CIRS Table Info'!$B$6:$J$425,7,FALSE)="Data",1800,0) )))</f>
        <v>2200</v>
      </c>
      <c r="M154" s="438">
        <f>VLOOKUP($B154,'CIRS Table IDs'!$B$6:$M$1001,12,FALSE)</f>
        <v>2200</v>
      </c>
      <c r="N154" s="436" t="str">
        <f t="shared" si="7"/>
        <v/>
      </c>
      <c r="Q154" s="49"/>
      <c r="R154" s="49"/>
      <c r="S154" s="49"/>
      <c r="T154" s="49"/>
    </row>
    <row r="155" spans="1:20" x14ac:dyDescent="0.2">
      <c r="A155" s="21"/>
      <c r="B155" s="45" t="s">
        <v>104</v>
      </c>
      <c r="C155" s="36">
        <v>2016</v>
      </c>
      <c r="D155" s="36">
        <f>IF(H154&gt;=$E463,G154,G154-1)</f>
        <v>353</v>
      </c>
      <c r="E155" s="37">
        <f>IF(H154-$E463&gt;0,H154-$E463,H154-$E463+$E469)</f>
        <v>0.7687499999999996</v>
      </c>
      <c r="F155" s="40">
        <v>2016</v>
      </c>
      <c r="G155" s="40">
        <v>353</v>
      </c>
      <c r="H155" s="37">
        <v>0.76944444444444404</v>
      </c>
      <c r="I155" s="43">
        <v>600</v>
      </c>
      <c r="J155" s="43">
        <f>IF(I155=50,10,1)</f>
        <v>1</v>
      </c>
      <c r="K155" s="43"/>
      <c r="L155" s="438">
        <f>IF($I155&lt;192,0,IF($I155&gt;597,0, IF(VLOOKUP($I155,'CIRS Table Info'!$B$6:$J$425,3,FALSE)="Co-Add", 0.5,1) * (400 + IF(VLOOKUP($I155,'CIRS Table Info'!$B$6:$J$425,5,FALSE)="Data",1800,0) + IF(VLOOKUP($I155,'CIRS Table Info'!$B$6:$J$425,7,FALSE)="Data",1800,0) )))</f>
        <v>0</v>
      </c>
      <c r="M155" s="438">
        <f>VLOOKUP($B155,'CIRS Table IDs'!$B$6:$M$1001,12,FALSE)</f>
        <v>0</v>
      </c>
      <c r="N155" s="436" t="str">
        <f t="shared" si="7"/>
        <v/>
      </c>
      <c r="Q155" s="49"/>
      <c r="R155" s="49"/>
      <c r="S155" s="49"/>
      <c r="T155" s="49"/>
    </row>
    <row r="156" spans="1:20" x14ac:dyDescent="0.2">
      <c r="A156" s="21">
        <v>65</v>
      </c>
      <c r="B156" s="45" t="s">
        <v>464</v>
      </c>
      <c r="C156" s="36">
        <v>2016</v>
      </c>
      <c r="D156" s="36">
        <v>353</v>
      </c>
      <c r="E156" s="37">
        <v>0.76944444444444404</v>
      </c>
      <c r="F156" s="36">
        <v>2016</v>
      </c>
      <c r="G156" s="36">
        <v>353</v>
      </c>
      <c r="H156" s="37">
        <v>0.83263888888888904</v>
      </c>
      <c r="I156" s="43">
        <v>400</v>
      </c>
      <c r="J156" s="43">
        <v>1</v>
      </c>
      <c r="K156" s="43"/>
      <c r="L156" s="438">
        <f>IF($I156&lt;192,0,IF($I156&gt;597,0, IF(VLOOKUP($I156,'CIRS Table Info'!$B$6:$J$425,3,FALSE)="Co-Add", 0.5,1) * (400 + IF(VLOOKUP($I156,'CIRS Table Info'!$B$6:$J$425,5,FALSE)="Data",1800,0) + IF(VLOOKUP($I156,'CIRS Table Info'!$B$6:$J$425,7,FALSE)="Data",1800,0) )))</f>
        <v>2200</v>
      </c>
      <c r="M156" s="438">
        <f>VLOOKUP($B156,'CIRS Table IDs'!$B$6:$M$1001,12,FALSE)</f>
        <v>2200</v>
      </c>
      <c r="N156" s="436" t="str">
        <f t="shared" si="7"/>
        <v/>
      </c>
      <c r="Q156" s="49"/>
      <c r="R156" s="49"/>
      <c r="S156" s="49"/>
      <c r="T156" s="49"/>
    </row>
    <row r="157" spans="1:20" x14ac:dyDescent="0.2">
      <c r="A157" s="21"/>
      <c r="B157" s="45" t="s">
        <v>105</v>
      </c>
      <c r="C157" s="40">
        <v>2016</v>
      </c>
      <c r="D157" s="40">
        <f>IF(H156&gt;=$E463,G156,G156-1)</f>
        <v>353</v>
      </c>
      <c r="E157" s="37">
        <f>IF(H156-$E463&gt;0,H156-$E463,H156-$E463+$E469)</f>
        <v>0.8319444444444446</v>
      </c>
      <c r="F157" s="40">
        <v>2016</v>
      </c>
      <c r="G157" s="40">
        <v>353</v>
      </c>
      <c r="H157" s="37">
        <v>0.83263888888888904</v>
      </c>
      <c r="I157" s="43">
        <v>600</v>
      </c>
      <c r="J157" s="43">
        <f>IF(I157=50,10,1)</f>
        <v>1</v>
      </c>
      <c r="K157" s="43"/>
      <c r="L157" s="438">
        <f>IF($I157&lt;192,0,IF($I157&gt;597,0, IF(VLOOKUP($I157,'CIRS Table Info'!$B$6:$J$425,3,FALSE)="Co-Add", 0.5,1) * (400 + IF(VLOOKUP($I157,'CIRS Table Info'!$B$6:$J$425,5,FALSE)="Data",1800,0) + IF(VLOOKUP($I157,'CIRS Table Info'!$B$6:$J$425,7,FALSE)="Data",1800,0) )))</f>
        <v>0</v>
      </c>
      <c r="M157" s="438">
        <f>VLOOKUP($B157,'CIRS Table IDs'!$B$6:$M$1001,12,FALSE)</f>
        <v>0</v>
      </c>
      <c r="N157" s="436" t="str">
        <f t="shared" si="7"/>
        <v/>
      </c>
      <c r="Q157" s="49"/>
      <c r="R157" s="49"/>
      <c r="S157" s="49"/>
      <c r="T157" s="49"/>
    </row>
    <row r="158" spans="1:20" x14ac:dyDescent="0.2">
      <c r="A158" s="21">
        <v>66</v>
      </c>
      <c r="B158" s="45" t="s">
        <v>465</v>
      </c>
      <c r="C158" s="36">
        <v>2016</v>
      </c>
      <c r="D158" s="36">
        <v>353</v>
      </c>
      <c r="E158" s="37">
        <v>0.83263888888888904</v>
      </c>
      <c r="F158" s="36">
        <v>2016</v>
      </c>
      <c r="G158" s="36">
        <v>353</v>
      </c>
      <c r="H158" s="37">
        <v>0.91249999999999998</v>
      </c>
      <c r="I158" s="43">
        <v>405</v>
      </c>
      <c r="J158" s="43">
        <v>1</v>
      </c>
      <c r="K158" s="43"/>
      <c r="L158" s="438">
        <f>IF($I158&lt;192,0,IF($I158&gt;597,0, IF(VLOOKUP($I158,'CIRS Table Info'!$B$6:$J$425,3,FALSE)="Co-Add", 0.5,1) * (400 + IF(VLOOKUP($I158,'CIRS Table Info'!$B$6:$J$425,5,FALSE)="Data",1800,0) + IF(VLOOKUP($I158,'CIRS Table Info'!$B$6:$J$425,7,FALSE)="Data",1800,0) )))</f>
        <v>4000</v>
      </c>
      <c r="M158" s="438">
        <f>VLOOKUP($B158,'CIRS Table IDs'!$B$6:$M$1001,12,FALSE)</f>
        <v>4000</v>
      </c>
      <c r="N158" s="436" t="str">
        <f t="shared" si="7"/>
        <v/>
      </c>
      <c r="Q158" s="49"/>
      <c r="R158" s="49"/>
      <c r="S158" s="49"/>
      <c r="T158" s="49"/>
    </row>
    <row r="159" spans="1:20" x14ac:dyDescent="0.2">
      <c r="A159" s="21"/>
      <c r="B159" s="45" t="s">
        <v>106</v>
      </c>
      <c r="C159" s="40">
        <v>2016</v>
      </c>
      <c r="D159" s="40">
        <f>IF(H158&gt;=$E463,G158,G158-1)</f>
        <v>353</v>
      </c>
      <c r="E159" s="37">
        <f>IF(H158-$E463&gt;0,H158-$E463,H158-$E463+$E469)</f>
        <v>0.91180555555555554</v>
      </c>
      <c r="F159" s="40">
        <v>2016</v>
      </c>
      <c r="G159" s="40">
        <v>353</v>
      </c>
      <c r="H159" s="37">
        <v>0.91249999999999998</v>
      </c>
      <c r="I159" s="43">
        <v>600</v>
      </c>
      <c r="J159" s="43">
        <f>IF(I159=50,10,1)</f>
        <v>1</v>
      </c>
      <c r="K159" s="43"/>
      <c r="L159" s="438">
        <f>IF($I159&lt;192,0,IF($I159&gt;597,0, IF(VLOOKUP($I159,'CIRS Table Info'!$B$6:$J$425,3,FALSE)="Co-Add", 0.5,1) * (400 + IF(VLOOKUP($I159,'CIRS Table Info'!$B$6:$J$425,5,FALSE)="Data",1800,0) + IF(VLOOKUP($I159,'CIRS Table Info'!$B$6:$J$425,7,FALSE)="Data",1800,0) )))</f>
        <v>0</v>
      </c>
      <c r="M159" s="438">
        <f>VLOOKUP($B159,'CIRS Table IDs'!$B$6:$M$1001,12,FALSE)</f>
        <v>0</v>
      </c>
      <c r="N159" s="436" t="str">
        <f t="shared" si="7"/>
        <v/>
      </c>
      <c r="Q159" s="49"/>
      <c r="R159" s="49"/>
      <c r="S159" s="49"/>
      <c r="T159" s="49"/>
    </row>
    <row r="160" spans="1:20" x14ac:dyDescent="0.2">
      <c r="A160" s="21">
        <v>67</v>
      </c>
      <c r="B160" s="45" t="s">
        <v>466</v>
      </c>
      <c r="C160" s="36">
        <v>2016</v>
      </c>
      <c r="D160" s="36">
        <v>353</v>
      </c>
      <c r="E160" s="37">
        <v>0.91249999999999998</v>
      </c>
      <c r="F160" s="36">
        <v>2016</v>
      </c>
      <c r="G160" s="36">
        <v>353</v>
      </c>
      <c r="H160" s="37">
        <v>0.97291666666666698</v>
      </c>
      <c r="I160" s="43">
        <v>400</v>
      </c>
      <c r="J160" s="43">
        <v>1</v>
      </c>
      <c r="K160" s="43"/>
      <c r="L160" s="438">
        <f>IF($I160&lt;192,0,IF($I160&gt;597,0, IF(VLOOKUP($I160,'CIRS Table Info'!$B$6:$J$425,3,FALSE)="Co-Add", 0.5,1) * (400 + IF(VLOOKUP($I160,'CIRS Table Info'!$B$6:$J$425,5,FALSE)="Data",1800,0) + IF(VLOOKUP($I160,'CIRS Table Info'!$B$6:$J$425,7,FALSE)="Data",1800,0) )))</f>
        <v>2200</v>
      </c>
      <c r="M160" s="438">
        <f>VLOOKUP($B160,'CIRS Table IDs'!$B$6:$M$1001,12,FALSE)</f>
        <v>2200</v>
      </c>
      <c r="N160" s="436" t="str">
        <f t="shared" si="7"/>
        <v/>
      </c>
      <c r="Q160" s="49"/>
      <c r="R160" s="49"/>
      <c r="S160" s="49"/>
      <c r="T160" s="49"/>
    </row>
    <row r="161" spans="1:20" x14ac:dyDescent="0.2">
      <c r="A161" s="21"/>
      <c r="B161" s="45" t="s">
        <v>107</v>
      </c>
      <c r="C161" s="40">
        <v>2016</v>
      </c>
      <c r="D161" s="40">
        <f>IF(H160&gt;=$E463,G160,G160-1)</f>
        <v>353</v>
      </c>
      <c r="E161" s="37">
        <f>IF(H160-$E463&gt;0,H160-$E463,H160-$E463+$E469)</f>
        <v>0.97222222222222254</v>
      </c>
      <c r="F161" s="40">
        <v>2016</v>
      </c>
      <c r="G161" s="40">
        <v>353</v>
      </c>
      <c r="H161" s="37">
        <v>0.97291666666666698</v>
      </c>
      <c r="I161" s="43">
        <v>600</v>
      </c>
      <c r="J161" s="43">
        <f>IF(I161=50,10,1)</f>
        <v>1</v>
      </c>
      <c r="K161" s="43"/>
      <c r="L161" s="438">
        <f>IF($I161&lt;192,0,IF($I161&gt;597,0, IF(VLOOKUP($I161,'CIRS Table Info'!$B$6:$J$425,3,FALSE)="Co-Add", 0.5,1) * (400 + IF(VLOOKUP($I161,'CIRS Table Info'!$B$6:$J$425,5,FALSE)="Data",1800,0) + IF(VLOOKUP($I161,'CIRS Table Info'!$B$6:$J$425,7,FALSE)="Data",1800,0) )))</f>
        <v>0</v>
      </c>
      <c r="M161" s="438">
        <f>VLOOKUP($B161,'CIRS Table IDs'!$B$6:$M$1001,12,FALSE)</f>
        <v>0</v>
      </c>
      <c r="N161" s="436" t="str">
        <f t="shared" si="7"/>
        <v/>
      </c>
      <c r="Q161" s="49"/>
      <c r="R161" s="49"/>
      <c r="S161" s="49"/>
      <c r="T161" s="49"/>
    </row>
    <row r="162" spans="1:20" x14ac:dyDescent="0.2">
      <c r="A162" s="21">
        <v>68</v>
      </c>
      <c r="B162" s="45" t="s">
        <v>467</v>
      </c>
      <c r="C162" s="36">
        <v>2016</v>
      </c>
      <c r="D162" s="36">
        <v>353</v>
      </c>
      <c r="E162" s="37">
        <v>0.97291666666666698</v>
      </c>
      <c r="F162" s="36">
        <f>IF($G162&gt;=$D162,$C162,$C162+1)</f>
        <v>2016</v>
      </c>
      <c r="G162" s="36">
        <f>IF(MOD($C$5,4)&lt;&gt;0,IF($D162+IF($H162&gt;=$E162,0,IF($H162+$E469&gt;=$E162,1,2))&gt;365,1,$D162+IF($H162&gt;=$E162,0,IF($H162+$E469&gt;=$E162,1,2))),IF($D162+IF($H162&gt;=$E162,0,IF($H162+$E469&gt;=$E162,1,2))&gt;366,1,$D162+IF($H162&gt;=$E162,0,IF($H162+$E469&gt;=$E162,1,2))))</f>
        <v>353</v>
      </c>
      <c r="H162" s="37">
        <f>IF(E162 + TIMEVALUE("00:02:10")&gt;=1,E162 + TIMEVALUE("00:02:10")-1,E162 + TIMEVALUE("00:02:10"))</f>
        <v>0.97442129629629659</v>
      </c>
      <c r="I162" s="496">
        <v>203</v>
      </c>
      <c r="J162" s="43">
        <v>1</v>
      </c>
      <c r="K162" s="43"/>
      <c r="L162" s="438">
        <f>IF($I162&lt;192,0,IF($I162&gt;597,0, IF(VLOOKUP($I162,'CIRS Table Info'!$B$6:$J$425,3,FALSE)="Co-Add", 0.5,1) * (400 + IF(VLOOKUP($I162,'CIRS Table Info'!$B$6:$J$425,5,FALSE)="Data",1800,0) + IF(VLOOKUP($I162,'CIRS Table Info'!$B$6:$J$425,7,FALSE)="Data",1800,0) )))</f>
        <v>2200</v>
      </c>
      <c r="M162" s="438">
        <f>VLOOKUP($B162,'CIRS Table IDs'!$B$6:$M$1001,12,FALSE)</f>
        <v>2200</v>
      </c>
      <c r="N162" s="436" t="str">
        <f t="shared" si="7"/>
        <v/>
      </c>
      <c r="Q162" s="49"/>
      <c r="R162" s="49"/>
      <c r="S162" s="49"/>
      <c r="T162" s="49"/>
    </row>
    <row r="163" spans="1:20" x14ac:dyDescent="0.2">
      <c r="A163" s="21"/>
      <c r="B163" s="45" t="s">
        <v>467</v>
      </c>
      <c r="C163" s="36">
        <f>$F162</f>
        <v>2016</v>
      </c>
      <c r="D163" s="36">
        <f>$G162</f>
        <v>353</v>
      </c>
      <c r="E163" s="37">
        <f>IF(E162 + TIMEVALUE("00:02:10")&gt;=1,E162 + TIMEVALUE("00:02:10")-1,E162 + TIMEVALUE("00:02:10"))</f>
        <v>0.97442129629629659</v>
      </c>
      <c r="F163" s="36">
        <f>IF($G163&gt;=$D163,$C163,$C163+1)</f>
        <v>2016</v>
      </c>
      <c r="G163" s="36">
        <f>IF(0.139583333333333 - TIMEVALUE("00:03:10")&gt;=0, 354, 353)</f>
        <v>354</v>
      </c>
      <c r="H163" s="37">
        <f>IF(0.139583333333333 - TIMEVALUE("00:03:10")&gt;=0, 0.139583333333333 - TIMEVALUE("00:03:10"), 0.139583333333333 - TIMEVALUE("00:03:10") +$E469)</f>
        <v>0.13738425925925893</v>
      </c>
      <c r="I163" s="496">
        <v>200</v>
      </c>
      <c r="J163" s="43">
        <v>1</v>
      </c>
      <c r="K163" s="43"/>
      <c r="L163" s="438">
        <f>IF($I163&lt;192,0,IF($I163&gt;597,0, IF(VLOOKUP($I163,'CIRS Table Info'!$B$6:$J$425,3,FALSE)="Co-Add", 0.5,1) * (400 + IF(VLOOKUP($I163,'CIRS Table Info'!$B$6:$J$425,5,FALSE)="Data",1800,0) + IF(VLOOKUP($I163,'CIRS Table Info'!$B$6:$J$425,7,FALSE)="Data",1800,0) )))</f>
        <v>2200</v>
      </c>
      <c r="M163" s="438">
        <f>VLOOKUP($B163,'CIRS Table IDs'!$B$6:$M$1001,12,FALSE)</f>
        <v>2200</v>
      </c>
      <c r="N163" s="436" t="str">
        <f t="shared" si="7"/>
        <v/>
      </c>
      <c r="Q163" s="49"/>
      <c r="R163" s="49"/>
      <c r="S163" s="49"/>
      <c r="T163" s="49"/>
    </row>
    <row r="164" spans="1:20" x14ac:dyDescent="0.2">
      <c r="A164" s="21"/>
      <c r="B164" s="45" t="s">
        <v>467</v>
      </c>
      <c r="C164" s="36">
        <f>$F163</f>
        <v>2016</v>
      </c>
      <c r="D164" s="36">
        <f>$G163</f>
        <v>354</v>
      </c>
      <c r="E164" s="37">
        <f>IF(0.139583333333333 - TIMEVALUE("00:03:10")&gt;=0, 0.139583333333333 - TIMEVALUE("00:03:10"), 0.139583333333333 - TIMEVALUE("00:03:10") +$E469)</f>
        <v>0.13738425925925893</v>
      </c>
      <c r="F164" s="36">
        <f>IF($G164&gt;=$D164,$C164,$C164+1)</f>
        <v>2016</v>
      </c>
      <c r="G164" s="36">
        <v>354</v>
      </c>
      <c r="H164" s="37">
        <v>0.139583333333333</v>
      </c>
      <c r="I164" s="496">
        <v>203</v>
      </c>
      <c r="J164" s="43">
        <v>1</v>
      </c>
      <c r="K164" s="43"/>
      <c r="L164" s="438">
        <f>IF($I164&lt;192,0,IF($I164&gt;597,0, IF(VLOOKUP($I164,'CIRS Table Info'!$B$6:$J$425,3,FALSE)="Co-Add", 0.5,1) * (400 + IF(VLOOKUP($I164,'CIRS Table Info'!$B$6:$J$425,5,FALSE)="Data",1800,0) + IF(VLOOKUP($I164,'CIRS Table Info'!$B$6:$J$425,7,FALSE)="Data",1800,0) )))</f>
        <v>2200</v>
      </c>
      <c r="M164" s="438">
        <f>VLOOKUP($B164,'CIRS Table IDs'!$B$6:$M$1001,12,FALSE)</f>
        <v>2200</v>
      </c>
      <c r="N164" s="436" t="str">
        <f t="shared" si="7"/>
        <v/>
      </c>
      <c r="Q164" s="49"/>
      <c r="R164" s="49"/>
      <c r="S164" s="49"/>
      <c r="T164" s="49"/>
    </row>
    <row r="165" spans="1:20" x14ac:dyDescent="0.2">
      <c r="A165" s="21"/>
      <c r="B165" s="45" t="s">
        <v>108</v>
      </c>
      <c r="C165" s="36">
        <v>2016</v>
      </c>
      <c r="D165" s="36">
        <f>IF(H164&gt;=$E463,G164,G164-1)</f>
        <v>354</v>
      </c>
      <c r="E165" s="37">
        <f>IF(H164-$E463&gt;0,H164-$E463,H164-$E463+$E469)</f>
        <v>0.13888888888888856</v>
      </c>
      <c r="F165" s="40">
        <v>2016</v>
      </c>
      <c r="G165" s="40">
        <v>354</v>
      </c>
      <c r="H165" s="37">
        <v>0.139583333333333</v>
      </c>
      <c r="I165" s="43">
        <v>600</v>
      </c>
      <c r="J165" s="43">
        <f>IF(I165=50,10,1)</f>
        <v>1</v>
      </c>
      <c r="K165" s="43"/>
      <c r="L165" s="438">
        <f>IF($I165&lt;192,0,IF($I165&gt;597,0, IF(VLOOKUP($I165,'CIRS Table Info'!$B$6:$J$425,3,FALSE)="Co-Add", 0.5,1) * (400 + IF(VLOOKUP($I165,'CIRS Table Info'!$B$6:$J$425,5,FALSE)="Data",1800,0) + IF(VLOOKUP($I165,'CIRS Table Info'!$B$6:$J$425,7,FALSE)="Data",1800,0) )))</f>
        <v>0</v>
      </c>
      <c r="M165" s="438">
        <f>VLOOKUP($B165,'CIRS Table IDs'!$B$6:$M$1001,12,FALSE)</f>
        <v>0</v>
      </c>
      <c r="N165" s="436" t="str">
        <f t="shared" si="7"/>
        <v/>
      </c>
      <c r="Q165" s="49"/>
      <c r="R165" s="49"/>
      <c r="S165" s="49"/>
      <c r="T165" s="49"/>
    </row>
    <row r="166" spans="1:20" x14ac:dyDescent="0.2">
      <c r="A166" s="21">
        <v>69</v>
      </c>
      <c r="B166" s="45" t="s">
        <v>469</v>
      </c>
      <c r="C166" s="36">
        <v>2016</v>
      </c>
      <c r="D166" s="36">
        <v>354</v>
      </c>
      <c r="E166" s="37">
        <v>0.139583333333333</v>
      </c>
      <c r="F166" s="36">
        <v>2016</v>
      </c>
      <c r="G166" s="36">
        <v>354</v>
      </c>
      <c r="H166" s="37">
        <v>0.18124999999999999</v>
      </c>
      <c r="I166" s="43">
        <v>192</v>
      </c>
      <c r="J166" s="43">
        <v>1</v>
      </c>
      <c r="K166" s="43"/>
      <c r="L166" s="438">
        <f>IF($I166&lt;192,0,IF($I166&gt;597,0, IF(VLOOKUP($I166,'CIRS Table Info'!$B$6:$J$425,3,FALSE)="Co-Add", 0.5,1) * (400 + IF(VLOOKUP($I166,'CIRS Table Info'!$B$6:$J$425,5,FALSE)="Data",1800,0) + IF(VLOOKUP($I166,'CIRS Table Info'!$B$6:$J$425,7,FALSE)="Data",1800,0) )))</f>
        <v>400</v>
      </c>
      <c r="M166" s="438">
        <f>VLOOKUP($B166,'CIRS Table IDs'!$B$6:$M$1001,12,FALSE)</f>
        <v>400</v>
      </c>
      <c r="N166" s="436" t="str">
        <f t="shared" si="7"/>
        <v/>
      </c>
      <c r="Q166" s="49"/>
      <c r="R166" s="49"/>
      <c r="S166" s="49"/>
      <c r="T166" s="49"/>
    </row>
    <row r="167" spans="1:20" x14ac:dyDescent="0.2">
      <c r="A167" s="21"/>
      <c r="B167" s="45" t="s">
        <v>109</v>
      </c>
      <c r="C167" s="40">
        <v>2016</v>
      </c>
      <c r="D167" s="40">
        <f>IF(H166&gt;=$E463,G166,G166-1)</f>
        <v>354</v>
      </c>
      <c r="E167" s="37">
        <f>IF(H166-$E463&gt;0,H166-$E463,H166-$E463+$E469)</f>
        <v>0.18055555555555555</v>
      </c>
      <c r="F167" s="40">
        <v>2016</v>
      </c>
      <c r="G167" s="40">
        <v>354</v>
      </c>
      <c r="H167" s="37">
        <v>0.18124999999999999</v>
      </c>
      <c r="I167" s="43">
        <v>600</v>
      </c>
      <c r="J167" s="43">
        <f>IF(I167=50,10,1)</f>
        <v>1</v>
      </c>
      <c r="K167" s="43"/>
      <c r="L167" s="438">
        <f>IF($I167&lt;192,0,IF($I167&gt;597,0, IF(VLOOKUP($I167,'CIRS Table Info'!$B$6:$J$425,3,FALSE)="Co-Add", 0.5,1) * (400 + IF(VLOOKUP($I167,'CIRS Table Info'!$B$6:$J$425,5,FALSE)="Data",1800,0) + IF(VLOOKUP($I167,'CIRS Table Info'!$B$6:$J$425,7,FALSE)="Data",1800,0) )))</f>
        <v>0</v>
      </c>
      <c r="M167" s="438">
        <f>VLOOKUP($B167,'CIRS Table IDs'!$B$6:$M$1001,12,FALSE)</f>
        <v>0</v>
      </c>
      <c r="N167" s="436" t="str">
        <f t="shared" si="7"/>
        <v/>
      </c>
      <c r="Q167" s="49"/>
      <c r="R167" s="49"/>
      <c r="S167" s="49"/>
      <c r="T167" s="49"/>
    </row>
    <row r="168" spans="1:20" x14ac:dyDescent="0.2">
      <c r="A168" s="21">
        <v>70</v>
      </c>
      <c r="B168" s="45" t="s">
        <v>470</v>
      </c>
      <c r="C168" s="36">
        <v>2016</v>
      </c>
      <c r="D168" s="36">
        <v>354</v>
      </c>
      <c r="E168" s="37">
        <v>0.18124999999999999</v>
      </c>
      <c r="F168" s="36">
        <f>IF($G168&gt;=$D168,$C168,$C168+1)</f>
        <v>2016</v>
      </c>
      <c r="G168" s="36">
        <f>IF(MOD($C$5,4)&lt;&gt;0,IF($D168+IF($H168&gt;=$E168,0,IF($H168+$E469&gt;=$E168,1,2))&gt;365,1,$D168+IF($H168&gt;=$E168,0,IF($H168+$E469&gt;=$E168,1,2))),IF($D168+IF($H168&gt;=$E168,0,IF($H168+$E469&gt;=$E168,1,2))&gt;366,1,$D168+IF($H168&gt;=$E168,0,IF($H168+$E469&gt;=$E168,1,2))))</f>
        <v>354</v>
      </c>
      <c r="H168" s="37">
        <f>IF(E168 + TIMEVALUE("00:02:10")&gt;=1,E168 + TIMEVALUE("00:02:10")-1,E168 + TIMEVALUE("00:02:10"))</f>
        <v>0.18275462962962963</v>
      </c>
      <c r="I168" s="496">
        <v>203</v>
      </c>
      <c r="J168" s="43">
        <v>1</v>
      </c>
      <c r="K168" s="43"/>
      <c r="L168" s="438">
        <f>IF($I168&lt;192,0,IF($I168&gt;597,0, IF(VLOOKUP($I168,'CIRS Table Info'!$B$6:$J$425,3,FALSE)="Co-Add", 0.5,1) * (400 + IF(VLOOKUP($I168,'CIRS Table Info'!$B$6:$J$425,5,FALSE)="Data",1800,0) + IF(VLOOKUP($I168,'CIRS Table Info'!$B$6:$J$425,7,FALSE)="Data",1800,0) )))</f>
        <v>2200</v>
      </c>
      <c r="M168" s="438">
        <f>VLOOKUP($B168,'CIRS Table IDs'!$B$6:$M$1001,12,FALSE)</f>
        <v>2200</v>
      </c>
      <c r="N168" s="436" t="str">
        <f t="shared" si="7"/>
        <v/>
      </c>
      <c r="Q168" s="49"/>
      <c r="R168" s="49"/>
      <c r="S168" s="49"/>
      <c r="T168" s="49"/>
    </row>
    <row r="169" spans="1:20" x14ac:dyDescent="0.2">
      <c r="A169" s="21"/>
      <c r="B169" s="45" t="s">
        <v>470</v>
      </c>
      <c r="C169" s="36">
        <f>$F168</f>
        <v>2016</v>
      </c>
      <c r="D169" s="36">
        <f>$G168</f>
        <v>354</v>
      </c>
      <c r="E169" s="37">
        <f>IF(E168 + TIMEVALUE("00:02:10")&gt;=1,E168 + TIMEVALUE("00:02:10")-1,E168 + TIMEVALUE("00:02:10"))</f>
        <v>0.18275462962962963</v>
      </c>
      <c r="F169" s="36">
        <f>IF($G169&gt;=$D169,$C169,$C169+1)</f>
        <v>2016</v>
      </c>
      <c r="G169" s="36">
        <f>IF(0.347916666666667 - TIMEVALUE("00:03:10")&gt;=0, 354, 353)</f>
        <v>354</v>
      </c>
      <c r="H169" s="37">
        <f>IF(0.347916666666667 - TIMEVALUE("00:03:10")&gt;=0, 0.347916666666667 - TIMEVALUE("00:03:10"), 0.347916666666667 - TIMEVALUE("00:03:10") +$E469)</f>
        <v>0.34571759259259294</v>
      </c>
      <c r="I169" s="496">
        <v>200</v>
      </c>
      <c r="J169" s="43">
        <v>1</v>
      </c>
      <c r="K169" s="43"/>
      <c r="L169" s="438">
        <f>IF($I169&lt;192,0,IF($I169&gt;597,0, IF(VLOOKUP($I169,'CIRS Table Info'!$B$6:$J$425,3,FALSE)="Co-Add", 0.5,1) * (400 + IF(VLOOKUP($I169,'CIRS Table Info'!$B$6:$J$425,5,FALSE)="Data",1800,0) + IF(VLOOKUP($I169,'CIRS Table Info'!$B$6:$J$425,7,FALSE)="Data",1800,0) )))</f>
        <v>2200</v>
      </c>
      <c r="M169" s="438">
        <f>VLOOKUP($B169,'CIRS Table IDs'!$B$6:$M$1001,12,FALSE)</f>
        <v>2200</v>
      </c>
      <c r="N169" s="436" t="str">
        <f t="shared" si="7"/>
        <v/>
      </c>
      <c r="Q169" s="49"/>
      <c r="R169" s="49"/>
      <c r="S169" s="49"/>
      <c r="T169" s="49"/>
    </row>
    <row r="170" spans="1:20" x14ac:dyDescent="0.2">
      <c r="A170" s="21"/>
      <c r="B170" s="45" t="s">
        <v>470</v>
      </c>
      <c r="C170" s="36">
        <f>$F169</f>
        <v>2016</v>
      </c>
      <c r="D170" s="36">
        <f>$G169</f>
        <v>354</v>
      </c>
      <c r="E170" s="37">
        <f>IF(0.347916666666667 - TIMEVALUE("00:03:10")&gt;=0, 0.347916666666667 - TIMEVALUE("00:03:10"), 0.347916666666667 - TIMEVALUE("00:03:10") +$E469)</f>
        <v>0.34571759259259294</v>
      </c>
      <c r="F170" s="36">
        <f>IF($G170&gt;=$D170,$C170,$C170+1)</f>
        <v>2016</v>
      </c>
      <c r="G170" s="36">
        <v>354</v>
      </c>
      <c r="H170" s="37">
        <v>0.34791666666666698</v>
      </c>
      <c r="I170" s="496">
        <v>203</v>
      </c>
      <c r="J170" s="43">
        <v>1</v>
      </c>
      <c r="K170" s="43"/>
      <c r="L170" s="438">
        <f>IF($I170&lt;192,0,IF($I170&gt;597,0, IF(VLOOKUP($I170,'CIRS Table Info'!$B$6:$J$425,3,FALSE)="Co-Add", 0.5,1) * (400 + IF(VLOOKUP($I170,'CIRS Table Info'!$B$6:$J$425,5,FALSE)="Data",1800,0) + IF(VLOOKUP($I170,'CIRS Table Info'!$B$6:$J$425,7,FALSE)="Data",1800,0) )))</f>
        <v>2200</v>
      </c>
      <c r="M170" s="438">
        <f>VLOOKUP($B170,'CIRS Table IDs'!$B$6:$M$1001,12,FALSE)</f>
        <v>2200</v>
      </c>
      <c r="N170" s="436" t="str">
        <f t="shared" si="7"/>
        <v/>
      </c>
      <c r="Q170" s="49"/>
      <c r="R170" s="49"/>
      <c r="S170" s="49"/>
      <c r="T170" s="49"/>
    </row>
    <row r="171" spans="1:20" x14ac:dyDescent="0.2">
      <c r="A171" s="21"/>
      <c r="B171" s="45" t="s">
        <v>110</v>
      </c>
      <c r="C171" s="36">
        <v>2016</v>
      </c>
      <c r="D171" s="36">
        <f>IF(H170&gt;=$E463,G170,G170-1)</f>
        <v>354</v>
      </c>
      <c r="E171" s="37">
        <f>IF(H170-$E463&gt;0,H170-$E463,H170-$E463+$E469)</f>
        <v>0.34722222222222254</v>
      </c>
      <c r="F171" s="40">
        <v>2016</v>
      </c>
      <c r="G171" s="40">
        <v>354</v>
      </c>
      <c r="H171" s="37">
        <v>0.90902777777777799</v>
      </c>
      <c r="I171" s="43">
        <v>50</v>
      </c>
      <c r="J171" s="43">
        <f>IF(I171=50,10,1)</f>
        <v>10</v>
      </c>
      <c r="K171" s="43"/>
      <c r="L171" s="438">
        <f>IF($I171&lt;192,0,IF($I171&gt;597,0, IF(VLOOKUP($I171,'CIRS Table Info'!$B$6:$J$425,3,FALSE)="Co-Add", 0.5,1) * (400 + IF(VLOOKUP($I171,'CIRS Table Info'!$B$6:$J$425,5,FALSE)="Data",1800,0) + IF(VLOOKUP($I171,'CIRS Table Info'!$B$6:$J$425,7,FALSE)="Data",1800,0) )))</f>
        <v>0</v>
      </c>
      <c r="M171" s="438">
        <f>VLOOKUP($B171,'CIRS Table IDs'!$B$6:$M$1001,12,FALSE)</f>
        <v>0</v>
      </c>
      <c r="N171" s="436" t="str">
        <f t="shared" si="7"/>
        <v/>
      </c>
      <c r="Q171" s="49"/>
      <c r="R171" s="49"/>
      <c r="S171" s="49"/>
      <c r="T171" s="49"/>
    </row>
    <row r="172" spans="1:20" x14ac:dyDescent="0.2">
      <c r="A172" s="21">
        <v>71</v>
      </c>
      <c r="B172" s="45" t="s">
        <v>475</v>
      </c>
      <c r="C172" s="36">
        <v>2016</v>
      </c>
      <c r="D172" s="36">
        <v>354</v>
      </c>
      <c r="E172" s="37">
        <v>0.90902777777777799</v>
      </c>
      <c r="F172" s="36">
        <v>2016</v>
      </c>
      <c r="G172" s="36">
        <v>355</v>
      </c>
      <c r="H172" s="37">
        <v>0.25624999999999998</v>
      </c>
      <c r="I172" s="43">
        <v>820</v>
      </c>
      <c r="J172" s="43">
        <f>IF(I172=50,10,1)</f>
        <v>1</v>
      </c>
      <c r="K172" s="43"/>
      <c r="L172" s="438">
        <f>IF($I172&lt;192,0,IF($I172&gt;597,0, IF(VLOOKUP($I172,'CIRS Table Info'!$B$6:$J$425,3,FALSE)="Co-Add", 0.5,1) * (400 + IF(VLOOKUP($I172,'CIRS Table Info'!$B$6:$J$425,5,FALSE)="Data",1800,0) + IF(VLOOKUP($I172,'CIRS Table Info'!$B$6:$J$425,7,FALSE)="Data",1800,0) )))</f>
        <v>0</v>
      </c>
      <c r="M172" s="438">
        <f>VLOOKUP($B172,'CIRS Table IDs'!$B$6:$M$1001,12,FALSE)</f>
        <v>3000</v>
      </c>
      <c r="N172" s="436" t="str">
        <f t="shared" si="7"/>
        <v/>
      </c>
      <c r="Q172" s="49"/>
      <c r="R172" s="49"/>
      <c r="S172" s="49"/>
      <c r="T172" s="49"/>
    </row>
    <row r="173" spans="1:20" x14ac:dyDescent="0.2">
      <c r="A173" s="21"/>
      <c r="B173" s="45" t="s">
        <v>111</v>
      </c>
      <c r="C173" s="40">
        <v>2016</v>
      </c>
      <c r="D173" s="40">
        <f>IF(H172&gt;=$E463,G172,G172-1)</f>
        <v>355</v>
      </c>
      <c r="E173" s="37">
        <f>IF(H172-$E463&gt;0,H172-$E463,H172-$E463+$E469)</f>
        <v>0.25555555555555554</v>
      </c>
      <c r="F173" s="40">
        <v>2016</v>
      </c>
      <c r="G173" s="40">
        <v>355</v>
      </c>
      <c r="H173" s="37">
        <v>0.28402777777777799</v>
      </c>
      <c r="I173" s="43">
        <v>606</v>
      </c>
      <c r="J173" s="43">
        <f>IF(I173=50,10,1)</f>
        <v>1</v>
      </c>
      <c r="K173" s="43"/>
      <c r="L173" s="438">
        <f>IF($I173&lt;192,0,IF($I173&gt;597,0, IF(VLOOKUP($I173,'CIRS Table Info'!$B$6:$J$425,3,FALSE)="Co-Add", 0.5,1) * (400 + IF(VLOOKUP($I173,'CIRS Table Info'!$B$6:$J$425,5,FALSE)="Data",1800,0) + IF(VLOOKUP($I173,'CIRS Table Info'!$B$6:$J$425,7,FALSE)="Data",1800,0) )))</f>
        <v>0</v>
      </c>
      <c r="M173" s="438">
        <f>VLOOKUP($B173,'CIRS Table IDs'!$B$6:$M$1001,12,FALSE)</f>
        <v>0</v>
      </c>
      <c r="N173" s="436" t="str">
        <f t="shared" si="7"/>
        <v/>
      </c>
      <c r="Q173" s="49"/>
      <c r="R173" s="49"/>
      <c r="S173" s="49"/>
      <c r="T173" s="49"/>
    </row>
    <row r="174" spans="1:20" x14ac:dyDescent="0.2">
      <c r="A174" s="21">
        <v>72</v>
      </c>
      <c r="B174" s="45" t="s">
        <v>476</v>
      </c>
      <c r="C174" s="36">
        <v>2016</v>
      </c>
      <c r="D174" s="36">
        <v>355</v>
      </c>
      <c r="E174" s="37">
        <v>0.28402777777777799</v>
      </c>
      <c r="F174" s="36">
        <v>2016</v>
      </c>
      <c r="G174" s="36">
        <v>355</v>
      </c>
      <c r="H174" s="37">
        <v>0.34652777777777799</v>
      </c>
      <c r="I174" s="43">
        <v>341</v>
      </c>
      <c r="J174" s="43">
        <v>1</v>
      </c>
      <c r="K174" s="43"/>
      <c r="L174" s="438">
        <f>IF($I174&lt;192,0,IF($I174&gt;597,0, IF(VLOOKUP($I174,'CIRS Table Info'!$B$6:$J$425,3,FALSE)="Co-Add", 0.5,1) * (400 + IF(VLOOKUP($I174,'CIRS Table Info'!$B$6:$J$425,5,FALSE)="Data",1800,0) + IF(VLOOKUP($I174,'CIRS Table Info'!$B$6:$J$425,7,FALSE)="Data",1800,0) )))</f>
        <v>4000</v>
      </c>
      <c r="M174" s="438">
        <f>VLOOKUP($B174,'CIRS Table IDs'!$B$6:$M$1001,12,FALSE)</f>
        <v>4000</v>
      </c>
      <c r="N174" s="436" t="str">
        <f t="shared" si="7"/>
        <v/>
      </c>
      <c r="Q174" s="49"/>
      <c r="R174" s="49"/>
      <c r="S174" s="49"/>
      <c r="T174" s="49"/>
    </row>
    <row r="175" spans="1:20" x14ac:dyDescent="0.2">
      <c r="A175" s="21"/>
      <c r="B175" s="45" t="s">
        <v>112</v>
      </c>
      <c r="C175" s="40">
        <v>2016</v>
      </c>
      <c r="D175" s="40">
        <f>IF(H174&gt;=$E463,G174,G174-1)</f>
        <v>355</v>
      </c>
      <c r="E175" s="37">
        <f>IF(H174-$E463&gt;0,H174-$E463,H174-$E463+$E469)</f>
        <v>0.34583333333333355</v>
      </c>
      <c r="F175" s="40">
        <v>2016</v>
      </c>
      <c r="G175" s="40">
        <v>355</v>
      </c>
      <c r="H175" s="37">
        <v>0.34652777777777799</v>
      </c>
      <c r="I175" s="43">
        <v>600</v>
      </c>
      <c r="J175" s="43">
        <f>IF(I175=50,10,1)</f>
        <v>1</v>
      </c>
      <c r="K175" s="43"/>
      <c r="L175" s="438">
        <f>IF($I175&lt;192,0,IF($I175&gt;597,0, IF(VLOOKUP($I175,'CIRS Table Info'!$B$6:$J$425,3,FALSE)="Co-Add", 0.5,1) * (400 + IF(VLOOKUP($I175,'CIRS Table Info'!$B$6:$J$425,5,FALSE)="Data",1800,0) + IF(VLOOKUP($I175,'CIRS Table Info'!$B$6:$J$425,7,FALSE)="Data",1800,0) )))</f>
        <v>0</v>
      </c>
      <c r="M175" s="438">
        <f>VLOOKUP($B175,'CIRS Table IDs'!$B$6:$M$1001,12,FALSE)</f>
        <v>0</v>
      </c>
      <c r="N175" s="436" t="str">
        <f t="shared" si="7"/>
        <v/>
      </c>
      <c r="Q175" s="49"/>
      <c r="R175" s="49"/>
      <c r="S175" s="49"/>
      <c r="T175" s="49"/>
    </row>
    <row r="176" spans="1:20" x14ac:dyDescent="0.2">
      <c r="A176" s="21">
        <v>73</v>
      </c>
      <c r="B176" s="45" t="s">
        <v>477</v>
      </c>
      <c r="C176" s="36">
        <v>2016</v>
      </c>
      <c r="D176" s="36">
        <v>355</v>
      </c>
      <c r="E176" s="37">
        <v>0.34652777777777799</v>
      </c>
      <c r="F176" s="36">
        <v>2016</v>
      </c>
      <c r="G176" s="36">
        <v>355</v>
      </c>
      <c r="H176" s="37">
        <v>0.52430555555555602</v>
      </c>
      <c r="I176" s="43">
        <v>553</v>
      </c>
      <c r="J176" s="43">
        <v>1</v>
      </c>
      <c r="K176" s="43"/>
      <c r="L176" s="438">
        <f>IF($I176&lt;192,0,IF($I176&gt;597,0, IF(VLOOKUP($I176,'CIRS Table Info'!$B$6:$J$425,3,FALSE)="Co-Add", 0.5,1) * (400 + IF(VLOOKUP($I176,'CIRS Table Info'!$B$6:$J$425,5,FALSE)="Data",1800,0) + IF(VLOOKUP($I176,'CIRS Table Info'!$B$6:$J$425,7,FALSE)="Data",1800,0) )))</f>
        <v>4000</v>
      </c>
      <c r="M176" s="438">
        <f>VLOOKUP($B176,'CIRS Table IDs'!$B$6:$M$1001,12,FALSE)</f>
        <v>4000</v>
      </c>
      <c r="N176" s="436" t="str">
        <f t="shared" si="7"/>
        <v/>
      </c>
      <c r="Q176" s="49"/>
      <c r="R176" s="49"/>
      <c r="S176" s="49"/>
      <c r="T176" s="49"/>
    </row>
    <row r="177" spans="1:20" x14ac:dyDescent="0.2">
      <c r="A177" s="21"/>
      <c r="B177" s="45" t="s">
        <v>113</v>
      </c>
      <c r="C177" s="40">
        <v>2016</v>
      </c>
      <c r="D177" s="40">
        <f>IF(H176&gt;=$E463,G176,G176-1)</f>
        <v>355</v>
      </c>
      <c r="E177" s="37">
        <f>IF(H176-$E463&gt;0,H176-$E463,H176-$E463+$E469)</f>
        <v>0.52361111111111158</v>
      </c>
      <c r="F177" s="40">
        <v>2016</v>
      </c>
      <c r="G177" s="40">
        <v>355</v>
      </c>
      <c r="H177" s="37">
        <v>0.52430555555555602</v>
      </c>
      <c r="I177" s="43">
        <v>602</v>
      </c>
      <c r="J177" s="43">
        <f>IF(I177=50,10,1)</f>
        <v>1</v>
      </c>
      <c r="K177" s="43"/>
      <c r="L177" s="438">
        <f>IF($I177&lt;192,0,IF($I177&gt;597,0, IF(VLOOKUP($I177,'CIRS Table Info'!$B$6:$J$425,3,FALSE)="Co-Add", 0.5,1) * (400 + IF(VLOOKUP($I177,'CIRS Table Info'!$B$6:$J$425,5,FALSE)="Data",1800,0) + IF(VLOOKUP($I177,'CIRS Table Info'!$B$6:$J$425,7,FALSE)="Data",1800,0) )))</f>
        <v>0</v>
      </c>
      <c r="M177" s="438">
        <f>VLOOKUP($B177,'CIRS Table IDs'!$B$6:$M$1001,12,FALSE)</f>
        <v>0</v>
      </c>
      <c r="N177" s="436" t="str">
        <f t="shared" si="7"/>
        <v/>
      </c>
      <c r="Q177" s="49"/>
      <c r="R177" s="49"/>
      <c r="S177" s="49"/>
      <c r="T177" s="49"/>
    </row>
    <row r="178" spans="1:20" x14ac:dyDescent="0.2">
      <c r="A178" s="21">
        <v>74</v>
      </c>
      <c r="B178" s="45" t="s">
        <v>478</v>
      </c>
      <c r="C178" s="36">
        <v>2016</v>
      </c>
      <c r="D178" s="36">
        <v>355</v>
      </c>
      <c r="E178" s="37">
        <v>0.52430555555555602</v>
      </c>
      <c r="F178" s="36">
        <f>IF($G178&gt;=$D178,$C178,$C178+1)</f>
        <v>2016</v>
      </c>
      <c r="G178" s="36">
        <f>IF(MOD($C$5,4)&lt;&gt;0,IF($D178+IF($H178&gt;=$E178,0,IF($H178+$E469&gt;=$E178,1,2))&gt;365,1,$D178+IF($H178&gt;=$E178,0,IF($H178+$E469&gt;=$E178,1,2))),IF($D178+IF($H178&gt;=$E178,0,IF($H178+$E469&gt;=$E178,1,2))&gt;366,1,$D178+IF($H178&gt;=$E178,0,IF($H178+$E469&gt;=$E178,1,2))))</f>
        <v>355</v>
      </c>
      <c r="H178" s="37">
        <f>IF(E178 + TIMEVALUE("00:04:50")&gt;=1,E178 + TIMEVALUE("00:04:50")-1,E178 + TIMEVALUE("00:04:50"))</f>
        <v>0.52766203703703751</v>
      </c>
      <c r="I178" s="496">
        <v>234</v>
      </c>
      <c r="J178" s="43">
        <v>1</v>
      </c>
      <c r="K178" s="43"/>
      <c r="L178" s="438">
        <f>IF($I178&lt;192,0,IF($I178&gt;597,0, IF(VLOOKUP($I178,'CIRS Table Info'!$B$6:$J$425,3,FALSE)="Co-Add", 0.5,1) * (400 + IF(VLOOKUP($I178,'CIRS Table Info'!$B$6:$J$425,5,FALSE)="Data",1800,0) + IF(VLOOKUP($I178,'CIRS Table Info'!$B$6:$J$425,7,FALSE)="Data",1800,0) )))</f>
        <v>4000</v>
      </c>
      <c r="M178" s="438">
        <f>VLOOKUP($B178,'CIRS Table IDs'!$B$6:$M$1001,12,FALSE)</f>
        <v>4000</v>
      </c>
      <c r="N178" s="436" t="str">
        <f t="shared" si="7"/>
        <v/>
      </c>
      <c r="Q178" s="49"/>
      <c r="R178" s="49"/>
      <c r="S178" s="49"/>
      <c r="T178" s="49"/>
    </row>
    <row r="179" spans="1:20" x14ac:dyDescent="0.2">
      <c r="A179" s="21"/>
      <c r="B179" s="45" t="s">
        <v>478</v>
      </c>
      <c r="C179" s="36">
        <f>$F178</f>
        <v>2016</v>
      </c>
      <c r="D179" s="36">
        <f>$G178</f>
        <v>355</v>
      </c>
      <c r="E179" s="37">
        <f>IF(E178 + TIMEVALUE("00:04:50")&gt;=1,E178 + TIMEVALUE("00:04:50")-1,E178 + TIMEVALUE("00:04:50"))</f>
        <v>0.52766203703703751</v>
      </c>
      <c r="F179" s="36">
        <f>IF($G179&gt;=$D179,$C179,$C179+1)</f>
        <v>2016</v>
      </c>
      <c r="G179" s="36">
        <f>IF(0.732638888888889 - TIMEVALUE("00:05:50")&gt;=0, 355, 354)</f>
        <v>355</v>
      </c>
      <c r="H179" s="37">
        <f>IF(0.732638888888889 - TIMEVALUE("00:05:50")&gt;=0, 0.732638888888889 - TIMEVALUE("00:05:50"), 0.732638888888889 - TIMEVALUE("00:05:50") +$E469)</f>
        <v>0.72858796296296302</v>
      </c>
      <c r="I179" s="496">
        <v>231</v>
      </c>
      <c r="J179" s="43">
        <v>1</v>
      </c>
      <c r="K179" s="43"/>
      <c r="L179" s="438">
        <f>IF($I179&lt;192,0,IF($I179&gt;597,0, IF(VLOOKUP($I179,'CIRS Table Info'!$B$6:$J$425,3,FALSE)="Co-Add", 0.5,1) * (400 + IF(VLOOKUP($I179,'CIRS Table Info'!$B$6:$J$425,5,FALSE)="Data",1800,0) + IF(VLOOKUP($I179,'CIRS Table Info'!$B$6:$J$425,7,FALSE)="Data",1800,0) )))</f>
        <v>4000</v>
      </c>
      <c r="M179" s="438">
        <f>VLOOKUP($B179,'CIRS Table IDs'!$B$6:$M$1001,12,FALSE)</f>
        <v>4000</v>
      </c>
      <c r="N179" s="436" t="str">
        <f t="shared" si="7"/>
        <v/>
      </c>
      <c r="Q179" s="49"/>
      <c r="R179" s="49"/>
      <c r="S179" s="49"/>
      <c r="T179" s="49"/>
    </row>
    <row r="180" spans="1:20" x14ac:dyDescent="0.2">
      <c r="A180" s="21"/>
      <c r="B180" s="45" t="s">
        <v>478</v>
      </c>
      <c r="C180" s="36">
        <f>$F179</f>
        <v>2016</v>
      </c>
      <c r="D180" s="36">
        <f>$G179</f>
        <v>355</v>
      </c>
      <c r="E180" s="37">
        <f>IF(0.732638888888889 - TIMEVALUE("00:05:50")&gt;=0, 0.732638888888889 - TIMEVALUE("00:05:50"), 0.732638888888889 - TIMEVALUE("00:05:50") +$E469)</f>
        <v>0.72858796296296302</v>
      </c>
      <c r="F180" s="36">
        <f>IF($G180&gt;=$D180,$C180,$C180+1)</f>
        <v>2016</v>
      </c>
      <c r="G180" s="36">
        <v>355</v>
      </c>
      <c r="H180" s="37">
        <v>0.73263888888888895</v>
      </c>
      <c r="I180" s="496">
        <v>234</v>
      </c>
      <c r="J180" s="43">
        <v>1</v>
      </c>
      <c r="K180" s="43"/>
      <c r="L180" s="438">
        <f>IF($I180&lt;192,0,IF($I180&gt;597,0, IF(VLOOKUP($I180,'CIRS Table Info'!$B$6:$J$425,3,FALSE)="Co-Add", 0.5,1) * (400 + IF(VLOOKUP($I180,'CIRS Table Info'!$B$6:$J$425,5,FALSE)="Data",1800,0) + IF(VLOOKUP($I180,'CIRS Table Info'!$B$6:$J$425,7,FALSE)="Data",1800,0) )))</f>
        <v>4000</v>
      </c>
      <c r="M180" s="438">
        <f>VLOOKUP($B180,'CIRS Table IDs'!$B$6:$M$1001,12,FALSE)</f>
        <v>4000</v>
      </c>
      <c r="N180" s="436" t="str">
        <f t="shared" si="7"/>
        <v/>
      </c>
      <c r="Q180" s="49"/>
      <c r="R180" s="49"/>
      <c r="S180" s="49"/>
      <c r="T180" s="49"/>
    </row>
    <row r="181" spans="1:20" x14ac:dyDescent="0.2">
      <c r="A181" s="21"/>
      <c r="B181" s="45" t="s">
        <v>114</v>
      </c>
      <c r="C181" s="36">
        <v>2016</v>
      </c>
      <c r="D181" s="36">
        <f>IF(H180&gt;=$E463,G180,G180-1)</f>
        <v>355</v>
      </c>
      <c r="E181" s="37">
        <f>IF(H180-$E463&gt;0,H180-$E463,H180-$E463+$E469)</f>
        <v>0.73194444444444451</v>
      </c>
      <c r="F181" s="40">
        <v>2016</v>
      </c>
      <c r="G181" s="40">
        <v>355</v>
      </c>
      <c r="H181" s="37">
        <v>0.86527777777777803</v>
      </c>
      <c r="I181" s="43">
        <v>50</v>
      </c>
      <c r="J181" s="43">
        <f>IF(I181=50,10,1)</f>
        <v>10</v>
      </c>
      <c r="K181" s="43"/>
      <c r="L181" s="438">
        <f>IF($I181&lt;192,0,IF($I181&gt;597,0, IF(VLOOKUP($I181,'CIRS Table Info'!$B$6:$J$425,3,FALSE)="Co-Add", 0.5,1) * (400 + IF(VLOOKUP($I181,'CIRS Table Info'!$B$6:$J$425,5,FALSE)="Data",1800,0) + IF(VLOOKUP($I181,'CIRS Table Info'!$B$6:$J$425,7,FALSE)="Data",1800,0) )))</f>
        <v>0</v>
      </c>
      <c r="M181" s="438">
        <f>VLOOKUP($B181,'CIRS Table IDs'!$B$6:$M$1001,12,FALSE)</f>
        <v>0</v>
      </c>
      <c r="N181" s="436" t="str">
        <f t="shared" si="7"/>
        <v/>
      </c>
      <c r="Q181" s="49"/>
      <c r="R181" s="49"/>
      <c r="S181" s="49"/>
      <c r="T181" s="49"/>
    </row>
    <row r="182" spans="1:20" x14ac:dyDescent="0.2">
      <c r="A182" s="21">
        <v>75</v>
      </c>
      <c r="B182" s="45" t="s">
        <v>482</v>
      </c>
      <c r="C182" s="36">
        <v>2016</v>
      </c>
      <c r="D182" s="36">
        <v>355</v>
      </c>
      <c r="E182" s="37">
        <v>0.86527777777777803</v>
      </c>
      <c r="F182" s="36">
        <v>2016</v>
      </c>
      <c r="G182" s="36">
        <v>356</v>
      </c>
      <c r="H182" s="37">
        <v>0.17430555555555599</v>
      </c>
      <c r="I182" s="43">
        <v>824</v>
      </c>
      <c r="J182" s="43">
        <f>IF(I182=50,10,1)</f>
        <v>1</v>
      </c>
      <c r="K182" s="43"/>
      <c r="L182" s="438">
        <f>IF($I182&lt;192,0,IF($I182&gt;597,0, IF(VLOOKUP($I182,'CIRS Table Info'!$B$6:$J$425,3,FALSE)="Co-Add", 0.5,1) * (400 + IF(VLOOKUP($I182,'CIRS Table Info'!$B$6:$J$425,5,FALSE)="Data",1800,0) + IF(VLOOKUP($I182,'CIRS Table Info'!$B$6:$J$425,7,FALSE)="Data",1800,0) )))</f>
        <v>0</v>
      </c>
      <c r="M182" s="438">
        <f>VLOOKUP($B182,'CIRS Table IDs'!$B$6:$M$1001,12,FALSE)</f>
        <v>3000</v>
      </c>
      <c r="N182" s="436" t="str">
        <f t="shared" si="7"/>
        <v/>
      </c>
      <c r="Q182" s="49"/>
      <c r="R182" s="49"/>
      <c r="S182" s="49"/>
      <c r="T182" s="49"/>
    </row>
    <row r="183" spans="1:20" x14ac:dyDescent="0.2">
      <c r="A183" s="21"/>
      <c r="B183" s="45" t="s">
        <v>115</v>
      </c>
      <c r="C183" s="40">
        <v>2016</v>
      </c>
      <c r="D183" s="40">
        <f>IF(H182&gt;=$E463,G182,G182-1)</f>
        <v>356</v>
      </c>
      <c r="E183" s="37">
        <f>IF(H182-$E463&gt;0,H182-$E463,H182-$E463+$E469)</f>
        <v>0.17361111111111155</v>
      </c>
      <c r="F183" s="40">
        <v>2016</v>
      </c>
      <c r="G183" s="40">
        <v>356</v>
      </c>
      <c r="H183" s="37">
        <v>0.19166666666666701</v>
      </c>
      <c r="I183" s="43">
        <v>600</v>
      </c>
      <c r="J183" s="43">
        <f>IF(I183=50,10,1)</f>
        <v>1</v>
      </c>
      <c r="K183" s="43"/>
      <c r="L183" s="438">
        <f>IF($I183&lt;192,0,IF($I183&gt;597,0, IF(VLOOKUP($I183,'CIRS Table Info'!$B$6:$J$425,3,FALSE)="Co-Add", 0.5,1) * (400 + IF(VLOOKUP($I183,'CIRS Table Info'!$B$6:$J$425,5,FALSE)="Data",1800,0) + IF(VLOOKUP($I183,'CIRS Table Info'!$B$6:$J$425,7,FALSE)="Data",1800,0) )))</f>
        <v>0</v>
      </c>
      <c r="M183" s="438">
        <f>VLOOKUP($B183,'CIRS Table IDs'!$B$6:$M$1001,12,FALSE)</f>
        <v>0</v>
      </c>
      <c r="N183" s="436" t="str">
        <f t="shared" si="7"/>
        <v/>
      </c>
      <c r="Q183" s="49"/>
      <c r="R183" s="49"/>
      <c r="S183" s="49"/>
      <c r="T183" s="49"/>
    </row>
    <row r="184" spans="1:20" x14ac:dyDescent="0.2">
      <c r="A184" s="21">
        <v>76</v>
      </c>
      <c r="B184" s="45" t="s">
        <v>483</v>
      </c>
      <c r="C184" s="36">
        <v>2016</v>
      </c>
      <c r="D184" s="36">
        <v>356</v>
      </c>
      <c r="E184" s="37">
        <v>0.19166666666666701</v>
      </c>
      <c r="F184" s="36">
        <v>2016</v>
      </c>
      <c r="G184" s="36">
        <v>356</v>
      </c>
      <c r="H184" s="37">
        <v>0.74375000000000002</v>
      </c>
      <c r="I184" s="43">
        <v>192</v>
      </c>
      <c r="J184" s="43">
        <v>1</v>
      </c>
      <c r="K184" s="43"/>
      <c r="L184" s="438">
        <f>IF($I184&lt;192,0,IF($I184&gt;597,0, IF(VLOOKUP($I184,'CIRS Table Info'!$B$6:$J$425,3,FALSE)="Co-Add", 0.5,1) * (400 + IF(VLOOKUP($I184,'CIRS Table Info'!$B$6:$J$425,5,FALSE)="Data",1800,0) + IF(VLOOKUP($I184,'CIRS Table Info'!$B$6:$J$425,7,FALSE)="Data",1800,0) )))</f>
        <v>400</v>
      </c>
      <c r="M184" s="438">
        <f>VLOOKUP($B184,'CIRS Table IDs'!$B$6:$M$1001,12,FALSE)</f>
        <v>400</v>
      </c>
      <c r="N184" s="436" t="str">
        <f t="shared" si="7"/>
        <v/>
      </c>
      <c r="Q184" s="49"/>
      <c r="R184" s="49"/>
      <c r="S184" s="49"/>
      <c r="T184" s="49"/>
    </row>
    <row r="185" spans="1:20" x14ac:dyDescent="0.2">
      <c r="A185" s="21"/>
      <c r="B185" s="45" t="s">
        <v>116</v>
      </c>
      <c r="C185" s="40">
        <v>2016</v>
      </c>
      <c r="D185" s="40">
        <f>IF(H184&gt;=$E463,G184,G184-1)</f>
        <v>356</v>
      </c>
      <c r="E185" s="37">
        <f>IF(H184-$E463&gt;0,H184-$E463,H184-$E463+$E469)</f>
        <v>0.74305555555555558</v>
      </c>
      <c r="F185" s="40">
        <v>2016</v>
      </c>
      <c r="G185" s="40">
        <v>356</v>
      </c>
      <c r="H185" s="37">
        <v>0.84791666666666698</v>
      </c>
      <c r="I185" s="43">
        <v>50</v>
      </c>
      <c r="J185" s="43">
        <f>IF(I185=50,10,1)</f>
        <v>10</v>
      </c>
      <c r="K185" s="43"/>
      <c r="L185" s="438">
        <f>IF($I185&lt;192,0,IF($I185&gt;597,0, IF(VLOOKUP($I185,'CIRS Table Info'!$B$6:$J$425,3,FALSE)="Co-Add", 0.5,1) * (400 + IF(VLOOKUP($I185,'CIRS Table Info'!$B$6:$J$425,5,FALSE)="Data",1800,0) + IF(VLOOKUP($I185,'CIRS Table Info'!$B$6:$J$425,7,FALSE)="Data",1800,0) )))</f>
        <v>0</v>
      </c>
      <c r="M185" s="438">
        <f>VLOOKUP($B185,'CIRS Table IDs'!$B$6:$M$1001,12,FALSE)</f>
        <v>0</v>
      </c>
      <c r="N185" s="436" t="str">
        <f t="shared" si="7"/>
        <v/>
      </c>
      <c r="Q185" s="49"/>
      <c r="R185" s="49"/>
      <c r="S185" s="49"/>
      <c r="T185" s="49"/>
    </row>
    <row r="186" spans="1:20" x14ac:dyDescent="0.2">
      <c r="A186" s="21">
        <v>77</v>
      </c>
      <c r="B186" s="45" t="s">
        <v>484</v>
      </c>
      <c r="C186" s="36">
        <v>2016</v>
      </c>
      <c r="D186" s="36">
        <v>356</v>
      </c>
      <c r="E186" s="37">
        <v>0.84791666666666698</v>
      </c>
      <c r="F186" s="36">
        <v>2016</v>
      </c>
      <c r="G186" s="36">
        <v>357</v>
      </c>
      <c r="H186" s="37">
        <v>0.18124999999999999</v>
      </c>
      <c r="I186" s="43">
        <v>826</v>
      </c>
      <c r="J186" s="43">
        <f>IF(I186=50,10,1)</f>
        <v>1</v>
      </c>
      <c r="K186" s="43"/>
      <c r="L186" s="438">
        <f>IF($I186&lt;192,0,IF($I186&gt;597,0, IF(VLOOKUP($I186,'CIRS Table Info'!$B$6:$J$425,3,FALSE)="Co-Add", 0.5,1) * (400 + IF(VLOOKUP($I186,'CIRS Table Info'!$B$6:$J$425,5,FALSE)="Data",1800,0) + IF(VLOOKUP($I186,'CIRS Table Info'!$B$6:$J$425,7,FALSE)="Data",1800,0) )))</f>
        <v>0</v>
      </c>
      <c r="M186" s="438">
        <f>VLOOKUP($B186,'CIRS Table IDs'!$B$6:$M$1001,12,FALSE)</f>
        <v>1500</v>
      </c>
      <c r="N186" s="436" t="str">
        <f t="shared" si="7"/>
        <v/>
      </c>
      <c r="Q186" s="49"/>
      <c r="R186" s="49"/>
      <c r="S186" s="49"/>
      <c r="T186" s="49"/>
    </row>
    <row r="187" spans="1:20" x14ac:dyDescent="0.2">
      <c r="A187" s="21"/>
      <c r="B187" s="45" t="s">
        <v>117</v>
      </c>
      <c r="C187" s="40">
        <v>2016</v>
      </c>
      <c r="D187" s="40">
        <f>IF(H186&gt;=$E463,G186,G186-1)</f>
        <v>357</v>
      </c>
      <c r="E187" s="37">
        <f>IF(H186-$E463&gt;0,H186-$E463,H186-$E463+$E469)</f>
        <v>0.18055555555555555</v>
      </c>
      <c r="F187" s="40">
        <v>2016</v>
      </c>
      <c r="G187" s="40">
        <v>357</v>
      </c>
      <c r="H187" s="37">
        <v>0.84236111111111101</v>
      </c>
      <c r="I187" s="43">
        <v>50</v>
      </c>
      <c r="J187" s="43">
        <f>IF(I187=50,10,1)</f>
        <v>10</v>
      </c>
      <c r="K187" s="43"/>
      <c r="L187" s="438">
        <f>IF($I187&lt;192,0,IF($I187&gt;597,0, IF(VLOOKUP($I187,'CIRS Table Info'!$B$6:$J$425,3,FALSE)="Co-Add", 0.5,1) * (400 + IF(VLOOKUP($I187,'CIRS Table Info'!$B$6:$J$425,5,FALSE)="Data",1800,0) + IF(VLOOKUP($I187,'CIRS Table Info'!$B$6:$J$425,7,FALSE)="Data",1800,0) )))</f>
        <v>0</v>
      </c>
      <c r="M187" s="438">
        <f>VLOOKUP($B187,'CIRS Table IDs'!$B$6:$M$1001,12,FALSE)</f>
        <v>0</v>
      </c>
      <c r="N187" s="436" t="str">
        <f t="shared" si="7"/>
        <v/>
      </c>
      <c r="Q187" s="49"/>
      <c r="R187" s="49"/>
      <c r="S187" s="49"/>
      <c r="T187" s="49"/>
    </row>
    <row r="188" spans="1:20" x14ac:dyDescent="0.2">
      <c r="A188" s="21">
        <v>78</v>
      </c>
      <c r="B188" s="45" t="s">
        <v>485</v>
      </c>
      <c r="C188" s="36">
        <v>2016</v>
      </c>
      <c r="D188" s="36">
        <v>357</v>
      </c>
      <c r="E188" s="37">
        <v>0.84236111111111101</v>
      </c>
      <c r="F188" s="36">
        <v>2016</v>
      </c>
      <c r="G188" s="36">
        <v>358</v>
      </c>
      <c r="H188" s="37">
        <v>0.17569444444444399</v>
      </c>
      <c r="I188" s="43">
        <v>827</v>
      </c>
      <c r="J188" s="43">
        <f>IF(I188=50,10,1)</f>
        <v>1</v>
      </c>
      <c r="K188" s="43"/>
      <c r="L188" s="438">
        <f>IF($I188&lt;192,0,IF($I188&gt;597,0, IF(VLOOKUP($I188,'CIRS Table Info'!$B$6:$J$425,3,FALSE)="Co-Add", 0.5,1) * (400 + IF(VLOOKUP($I188,'CIRS Table Info'!$B$6:$J$425,5,FALSE)="Data",1800,0) + IF(VLOOKUP($I188,'CIRS Table Info'!$B$6:$J$425,7,FALSE)="Data",1800,0) )))</f>
        <v>0</v>
      </c>
      <c r="M188" s="438">
        <f>VLOOKUP($B188,'CIRS Table IDs'!$B$6:$M$1001,12,FALSE)</f>
        <v>3000</v>
      </c>
      <c r="N188" s="436" t="str">
        <f t="shared" si="7"/>
        <v/>
      </c>
      <c r="Q188" s="49"/>
      <c r="R188" s="49"/>
      <c r="S188" s="49"/>
      <c r="T188" s="49"/>
    </row>
    <row r="189" spans="1:20" x14ac:dyDescent="0.2">
      <c r="A189" s="21"/>
      <c r="B189" s="45" t="s">
        <v>118</v>
      </c>
      <c r="C189" s="40">
        <v>2016</v>
      </c>
      <c r="D189" s="40">
        <f>IF(H188&gt;=$E463,G188,G188-1)</f>
        <v>358</v>
      </c>
      <c r="E189" s="37">
        <f>IF(H188-$E463&gt;0,H188-$E463,H188-$E463+$E469)</f>
        <v>0.17499999999999954</v>
      </c>
      <c r="F189" s="40">
        <v>2016</v>
      </c>
      <c r="G189" s="40">
        <v>358</v>
      </c>
      <c r="H189" s="37">
        <v>0.17569444444444399</v>
      </c>
      <c r="I189" s="43">
        <v>602</v>
      </c>
      <c r="J189" s="43">
        <f>IF(I189=50,10,1)</f>
        <v>1</v>
      </c>
      <c r="K189" s="43"/>
      <c r="L189" s="438">
        <f>IF($I189&lt;192,0,IF($I189&gt;597,0, IF(VLOOKUP($I189,'CIRS Table Info'!$B$6:$J$425,3,FALSE)="Co-Add", 0.5,1) * (400 + IF(VLOOKUP($I189,'CIRS Table Info'!$B$6:$J$425,5,FALSE)="Data",1800,0) + IF(VLOOKUP($I189,'CIRS Table Info'!$B$6:$J$425,7,FALSE)="Data",1800,0) )))</f>
        <v>0</v>
      </c>
      <c r="M189" s="438">
        <f>VLOOKUP($B189,'CIRS Table IDs'!$B$6:$M$1001,12,FALSE)</f>
        <v>0</v>
      </c>
      <c r="N189" s="436" t="str">
        <f t="shared" si="7"/>
        <v/>
      </c>
      <c r="Q189" s="49"/>
      <c r="R189" s="49"/>
      <c r="S189" s="49"/>
      <c r="T189" s="49"/>
    </row>
    <row r="190" spans="1:20" x14ac:dyDescent="0.2">
      <c r="A190" s="21">
        <v>79</v>
      </c>
      <c r="B190" s="45" t="s">
        <v>486</v>
      </c>
      <c r="C190" s="36">
        <v>2016</v>
      </c>
      <c r="D190" s="36">
        <v>358</v>
      </c>
      <c r="E190" s="37">
        <v>0.17569444444444399</v>
      </c>
      <c r="F190" s="36">
        <f>IF($G190&gt;=$D190,$C190,$C190+1)</f>
        <v>2016</v>
      </c>
      <c r="G190" s="36">
        <f>IF(MOD($C$5,4)&lt;&gt;0,IF($D190+IF($H190&gt;=$E190,0,IF($H190+$E469&gt;=$E190,1,2))&gt;365,1,$D190+IF($H190&gt;=$E190,0,IF($H190+$E469&gt;=$E190,1,2))),IF($D190+IF($H190&gt;=$E190,0,IF($H190+$E469&gt;=$E190,1,2))&gt;366,1,$D190+IF($H190&gt;=$E190,0,IF($H190+$E469&gt;=$E190,1,2))))</f>
        <v>358</v>
      </c>
      <c r="H190" s="37">
        <f>IF(E190 + TIMEVALUE("00:04:50")&gt;=1,E190 + TIMEVALUE("00:04:50")-1,E190 + TIMEVALUE("00:04:50"))</f>
        <v>0.17905092592592547</v>
      </c>
      <c r="I190" s="496">
        <v>234</v>
      </c>
      <c r="J190" s="43">
        <v>1</v>
      </c>
      <c r="K190" s="43"/>
      <c r="L190" s="438">
        <f>IF($I190&lt;192,0,IF($I190&gt;597,0, IF(VLOOKUP($I190,'CIRS Table Info'!$B$6:$J$425,3,FALSE)="Co-Add", 0.5,1) * (400 + IF(VLOOKUP($I190,'CIRS Table Info'!$B$6:$J$425,5,FALSE)="Data",1800,0) + IF(VLOOKUP($I190,'CIRS Table Info'!$B$6:$J$425,7,FALSE)="Data",1800,0) )))</f>
        <v>4000</v>
      </c>
      <c r="M190" s="438">
        <f>VLOOKUP($B190,'CIRS Table IDs'!$B$6:$M$1001,12,FALSE)</f>
        <v>4000</v>
      </c>
      <c r="N190" s="436" t="str">
        <f t="shared" si="7"/>
        <v/>
      </c>
      <c r="Q190" s="49"/>
      <c r="R190" s="49"/>
      <c r="S190" s="49"/>
      <c r="T190" s="49"/>
    </row>
    <row r="191" spans="1:20" x14ac:dyDescent="0.2">
      <c r="A191" s="21"/>
      <c r="B191" s="45" t="s">
        <v>486</v>
      </c>
      <c r="C191" s="36">
        <f>$F190</f>
        <v>2016</v>
      </c>
      <c r="D191" s="36">
        <f>$G190</f>
        <v>358</v>
      </c>
      <c r="E191" s="37">
        <f>IF(E190 + TIMEVALUE("00:04:50")&gt;=1,E190 + TIMEVALUE("00:04:50")-1,E190 + TIMEVALUE("00:04:50"))</f>
        <v>0.17905092592592547</v>
      </c>
      <c r="F191" s="36">
        <f>IF($G191&gt;=$D191,$C191,$C191+1)</f>
        <v>2016</v>
      </c>
      <c r="G191" s="36">
        <f>IF(MOD($C$5,4)&lt;&gt;0,IF($D191+IF($H191&gt;=$E191,0,IF($H191+$E469&gt;=$E191,1,2))&gt;365,1,$D191+IF($H191&gt;=$E191,0,IF($H191+$E469&gt;=$E191,1,2))),IF($D191+IF($H191&gt;=$E191,0,IF($H191+$E469&gt;=$E191,1,2))&gt;366,1,$D191+IF($H191&gt;=$E191,0,IF($H191+$E469&gt;=$E191,1,2))))</f>
        <v>358</v>
      </c>
      <c r="H191" s="37">
        <f>IF(E190 + TIMEVALUE("02:57:35")&gt;=1,E190 + TIMEVALUE("02:57:35")-1,E190 + TIMEVALUE("02:57:35"))</f>
        <v>0.29901620370370324</v>
      </c>
      <c r="I191" s="496">
        <v>231</v>
      </c>
      <c r="J191" s="43">
        <v>1</v>
      </c>
      <c r="K191" s="43"/>
      <c r="L191" s="438">
        <f>IF($I191&lt;192,0,IF($I191&gt;597,0, IF(VLOOKUP($I191,'CIRS Table Info'!$B$6:$J$425,3,FALSE)="Co-Add", 0.5,1) * (400 + IF(VLOOKUP($I191,'CIRS Table Info'!$B$6:$J$425,5,FALSE)="Data",1800,0) + IF(VLOOKUP($I191,'CIRS Table Info'!$B$6:$J$425,7,FALSE)="Data",1800,0) )))</f>
        <v>4000</v>
      </c>
      <c r="M191" s="438">
        <f>VLOOKUP($B191,'CIRS Table IDs'!$B$6:$M$1001,12,FALSE)</f>
        <v>4000</v>
      </c>
      <c r="N191" s="436" t="str">
        <f t="shared" si="7"/>
        <v/>
      </c>
      <c r="Q191" s="49"/>
      <c r="R191" s="49"/>
      <c r="S191" s="49"/>
      <c r="T191" s="49"/>
    </row>
    <row r="192" spans="1:20" x14ac:dyDescent="0.2">
      <c r="A192" s="21"/>
      <c r="B192" s="45" t="s">
        <v>486</v>
      </c>
      <c r="C192" s="36">
        <f>$F191</f>
        <v>2016</v>
      </c>
      <c r="D192" s="36">
        <f>$G191</f>
        <v>358</v>
      </c>
      <c r="E192" s="37">
        <f>IF(E190 + TIMEVALUE("02:57:35")&gt;=1,E190 + TIMEVALUE("02:57:35")-1,E190 + TIMEVALUE("02:57:35"))</f>
        <v>0.29901620370370324</v>
      </c>
      <c r="F192" s="36">
        <f>IF($G192&gt;=$D192,$C192,$C192+1)</f>
        <v>2016</v>
      </c>
      <c r="G192" s="36">
        <f>IF(MOD($C$5,4)&lt;&gt;0,IF($D192+IF($H192&gt;=$E192,0,IF($H192+$E469&gt;=$E192,1,2))&gt;365,1,$D192+IF($H192&gt;=$E192,0,IF($H192+$E469&gt;=$E192,1,2))),IF($D192+IF($H192&gt;=$E192,0,IF($H192+$E469&gt;=$E192,1,2))&gt;366,1,$D192+IF($H192&gt;=$E192,0,IF($H192+$E469&gt;=$E192,1,2))))</f>
        <v>358</v>
      </c>
      <c r="H192" s="37">
        <f>IF(E190 + TIMEVALUE("03:02:25")&gt;=1,E190 + TIMEVALUE("03:02:25")-1,E190 + TIMEVALUE("03:02:25"))</f>
        <v>0.30237268518518473</v>
      </c>
      <c r="I192" s="496">
        <v>234</v>
      </c>
      <c r="J192" s="43">
        <v>1</v>
      </c>
      <c r="K192" s="43"/>
      <c r="L192" s="438">
        <f>IF($I192&lt;192,0,IF($I192&gt;597,0, IF(VLOOKUP($I192,'CIRS Table Info'!$B$6:$J$425,3,FALSE)="Co-Add", 0.5,1) * (400 + IF(VLOOKUP($I192,'CIRS Table Info'!$B$6:$J$425,5,FALSE)="Data",1800,0) + IF(VLOOKUP($I192,'CIRS Table Info'!$B$6:$J$425,7,FALSE)="Data",1800,0) )))</f>
        <v>4000</v>
      </c>
      <c r="M192" s="438">
        <f>VLOOKUP($B192,'CIRS Table IDs'!$B$6:$M$1001,12,FALSE)</f>
        <v>4000</v>
      </c>
      <c r="N192" s="436" t="str">
        <f t="shared" si="7"/>
        <v/>
      </c>
      <c r="Q192" s="49"/>
      <c r="R192" s="49"/>
      <c r="S192" s="49"/>
      <c r="T192" s="49"/>
    </row>
    <row r="193" spans="1:20" x14ac:dyDescent="0.2">
      <c r="A193" s="21"/>
      <c r="B193" s="45" t="s">
        <v>486</v>
      </c>
      <c r="C193" s="36">
        <f>$F192</f>
        <v>2016</v>
      </c>
      <c r="D193" s="36">
        <f>$G192</f>
        <v>358</v>
      </c>
      <c r="E193" s="37">
        <f>IF(E190 + TIMEVALUE("03:02:25")&gt;=1,E190 + TIMEVALUE("03:02:25")-1,E190 + TIMEVALUE("03:02:25"))</f>
        <v>0.30237268518518473</v>
      </c>
      <c r="F193" s="36">
        <f>IF($G193&gt;=$D193,$C193,$C193+1)</f>
        <v>2016</v>
      </c>
      <c r="G193" s="36">
        <f>IF(0.425694444444444 - TIMEVALUE("00:05:50")&gt;=0, 358, 357)</f>
        <v>358</v>
      </c>
      <c r="H193" s="37">
        <f>IF(0.425694444444444 - TIMEVALUE("00:05:50")&gt;=0, 0.425694444444444 - TIMEVALUE("00:05:50"), 0.425694444444444 - TIMEVALUE("00:05:50") +$E469)</f>
        <v>0.42164351851851806</v>
      </c>
      <c r="I193" s="496">
        <v>231</v>
      </c>
      <c r="J193" s="43">
        <v>1</v>
      </c>
      <c r="K193" s="43"/>
      <c r="L193" s="438">
        <f>IF($I193&lt;192,0,IF($I193&gt;597,0, IF(VLOOKUP($I193,'CIRS Table Info'!$B$6:$J$425,3,FALSE)="Co-Add", 0.5,1) * (400 + IF(VLOOKUP($I193,'CIRS Table Info'!$B$6:$J$425,5,FALSE)="Data",1800,0) + IF(VLOOKUP($I193,'CIRS Table Info'!$B$6:$J$425,7,FALSE)="Data",1800,0) )))</f>
        <v>4000</v>
      </c>
      <c r="M193" s="438">
        <f>VLOOKUP($B193,'CIRS Table IDs'!$B$6:$M$1001,12,FALSE)</f>
        <v>4000</v>
      </c>
      <c r="N193" s="436" t="str">
        <f t="shared" si="7"/>
        <v/>
      </c>
      <c r="Q193" s="49"/>
      <c r="R193" s="49"/>
      <c r="S193" s="49"/>
      <c r="T193" s="49"/>
    </row>
    <row r="194" spans="1:20" x14ac:dyDescent="0.2">
      <c r="A194" s="21"/>
      <c r="B194" s="45" t="s">
        <v>486</v>
      </c>
      <c r="C194" s="36">
        <f>$F193</f>
        <v>2016</v>
      </c>
      <c r="D194" s="36">
        <f>$G193</f>
        <v>358</v>
      </c>
      <c r="E194" s="37">
        <f>IF(0.425694444444444 - TIMEVALUE("00:05:50")&gt;=0, 0.425694444444444 - TIMEVALUE("00:05:50"), 0.425694444444444 - TIMEVALUE("00:05:50") +$E469)</f>
        <v>0.42164351851851806</v>
      </c>
      <c r="F194" s="36">
        <f>IF($G194&gt;=$D194,$C194,$C194+1)</f>
        <v>2016</v>
      </c>
      <c r="G194" s="36">
        <v>358</v>
      </c>
      <c r="H194" s="37">
        <v>0.42569444444444399</v>
      </c>
      <c r="I194" s="496">
        <v>234</v>
      </c>
      <c r="J194" s="43">
        <v>1</v>
      </c>
      <c r="K194" s="43"/>
      <c r="L194" s="438">
        <f>IF($I194&lt;192,0,IF($I194&gt;597,0, IF(VLOOKUP($I194,'CIRS Table Info'!$B$6:$J$425,3,FALSE)="Co-Add", 0.5,1) * (400 + IF(VLOOKUP($I194,'CIRS Table Info'!$B$6:$J$425,5,FALSE)="Data",1800,0) + IF(VLOOKUP($I194,'CIRS Table Info'!$B$6:$J$425,7,FALSE)="Data",1800,0) )))</f>
        <v>4000</v>
      </c>
      <c r="M194" s="438">
        <f>VLOOKUP($B194,'CIRS Table IDs'!$B$6:$M$1001,12,FALSE)</f>
        <v>4000</v>
      </c>
      <c r="N194" s="436" t="str">
        <f t="shared" si="7"/>
        <v/>
      </c>
      <c r="Q194" s="49"/>
      <c r="R194" s="49"/>
      <c r="S194" s="49"/>
      <c r="T194" s="49"/>
    </row>
    <row r="195" spans="1:20" x14ac:dyDescent="0.2">
      <c r="A195" s="21"/>
      <c r="B195" s="45" t="s">
        <v>119</v>
      </c>
      <c r="C195" s="36">
        <v>2016</v>
      </c>
      <c r="D195" s="36">
        <f>IF(H194&gt;=$E463,G194,G194-1)</f>
        <v>358</v>
      </c>
      <c r="E195" s="37">
        <f>IF(H194-$E463&gt;0,H194-$E463,H194-$E463+$E469)</f>
        <v>0.42499999999999954</v>
      </c>
      <c r="F195" s="40">
        <v>2016</v>
      </c>
      <c r="G195" s="40">
        <v>358</v>
      </c>
      <c r="H195" s="37">
        <v>0.42569444444444399</v>
      </c>
      <c r="I195" s="43">
        <v>600</v>
      </c>
      <c r="J195" s="43">
        <f>IF(I195=50,10,1)</f>
        <v>1</v>
      </c>
      <c r="K195" s="43"/>
      <c r="L195" s="438">
        <f>IF($I195&lt;192,0,IF($I195&gt;597,0, IF(VLOOKUP($I195,'CIRS Table Info'!$B$6:$J$425,3,FALSE)="Co-Add", 0.5,1) * (400 + IF(VLOOKUP($I195,'CIRS Table Info'!$B$6:$J$425,5,FALSE)="Data",1800,0) + IF(VLOOKUP($I195,'CIRS Table Info'!$B$6:$J$425,7,FALSE)="Data",1800,0) )))</f>
        <v>0</v>
      </c>
      <c r="M195" s="438">
        <f>VLOOKUP($B195,'CIRS Table IDs'!$B$6:$M$1001,12,FALSE)</f>
        <v>0</v>
      </c>
      <c r="N195" s="436" t="str">
        <f t="shared" si="7"/>
        <v/>
      </c>
      <c r="Q195" s="49"/>
      <c r="R195" s="49"/>
      <c r="S195" s="49"/>
      <c r="T195" s="49"/>
    </row>
    <row r="196" spans="1:20" x14ac:dyDescent="0.2">
      <c r="A196" s="21">
        <v>80</v>
      </c>
      <c r="B196" s="45" t="s">
        <v>490</v>
      </c>
      <c r="C196" s="36">
        <v>2016</v>
      </c>
      <c r="D196" s="36">
        <v>358</v>
      </c>
      <c r="E196" s="37">
        <v>0.42569444444444399</v>
      </c>
      <c r="F196" s="36">
        <f t="shared" ref="F196" si="8">IF($G196&gt;=$D196,$C196,$C196+1)</f>
        <v>2016</v>
      </c>
      <c r="G196" s="36">
        <f>IF(MOD($C$5,4)&lt;&gt;0,IF($D196+IF($H196&gt;=$E196,0,IF($H196+$E469&gt;=$E196,1,2))&gt;365,1,$D196+IF($H196&gt;=$E196,0,IF($H196+$E469&gt;=$E196,1,2))),IF($D196+IF($H196&gt;=$E196,0,IF($H196+$E469&gt;=$E196,1,2))&gt;366,1,$D196+IF($H196&gt;=$E196,0,IF($H196+$E469&gt;=$E196,1,2))))</f>
        <v>358</v>
      </c>
      <c r="H196" s="37">
        <f>E197</f>
        <v>0.43298611111111113</v>
      </c>
      <c r="I196" s="496">
        <v>211</v>
      </c>
      <c r="J196" s="43">
        <f t="shared" ref="J196:J198" si="9">IF(I196=50,10,1)</f>
        <v>1</v>
      </c>
      <c r="K196" s="43"/>
      <c r="L196" s="438">
        <f>IF($I196&lt;192,0,IF($I196&gt;597,0, IF(VLOOKUP($I196,'CIRS Table Info'!$B$6:$J$425,3,FALSE)="Co-Add", 0.5,1) * (400 + IF(VLOOKUP($I196,'CIRS Table Info'!$B$6:$J$425,5,FALSE)="Data",1800,0) + IF(VLOOKUP($I196,'CIRS Table Info'!$B$6:$J$425,7,FALSE)="Data",1800,0) )))</f>
        <v>4000</v>
      </c>
      <c r="M196" s="438">
        <f>VLOOKUP($B196,'CIRS Table IDs'!$B$6:$M$1001,12,FALSE)</f>
        <v>4000</v>
      </c>
      <c r="N196" s="436" t="str">
        <f t="shared" si="7"/>
        <v/>
      </c>
      <c r="Q196" s="49"/>
      <c r="R196" s="49"/>
      <c r="S196" s="49"/>
      <c r="T196" s="49"/>
    </row>
    <row r="197" spans="1:20" x14ac:dyDescent="0.2">
      <c r="A197" s="21"/>
      <c r="B197" s="45" t="s">
        <v>490</v>
      </c>
      <c r="C197" s="36">
        <v>2016</v>
      </c>
      <c r="D197" s="36">
        <v>358</v>
      </c>
      <c r="E197" s="37">
        <v>0.43298611111111113</v>
      </c>
      <c r="F197" s="36">
        <v>2016</v>
      </c>
      <c r="G197" s="36">
        <v>358</v>
      </c>
      <c r="H197" s="37">
        <f>E198</f>
        <v>0.69652777777777775</v>
      </c>
      <c r="I197" s="496">
        <v>208</v>
      </c>
      <c r="J197" s="43">
        <f t="shared" si="9"/>
        <v>1</v>
      </c>
      <c r="K197" s="43"/>
      <c r="L197" s="438"/>
      <c r="M197" s="438"/>
      <c r="N197" s="436"/>
      <c r="Q197" s="49"/>
      <c r="R197" s="49"/>
      <c r="S197" s="49"/>
      <c r="T197" s="49"/>
    </row>
    <row r="198" spans="1:20" x14ac:dyDescent="0.2">
      <c r="A198" s="21"/>
      <c r="B198" s="45" t="s">
        <v>490</v>
      </c>
      <c r="C198" s="36">
        <v>2016</v>
      </c>
      <c r="D198" s="36">
        <v>358</v>
      </c>
      <c r="E198" s="37">
        <v>0.69652777777777775</v>
      </c>
      <c r="F198" s="36">
        <v>2016</v>
      </c>
      <c r="G198" s="36">
        <v>358</v>
      </c>
      <c r="H198" s="37">
        <f>E199+E463</f>
        <v>0.75902777777777775</v>
      </c>
      <c r="I198" s="496">
        <v>829</v>
      </c>
      <c r="J198" s="43">
        <f t="shared" si="9"/>
        <v>1</v>
      </c>
      <c r="K198" s="43"/>
      <c r="L198" s="438"/>
      <c r="M198" s="438"/>
      <c r="N198" s="436"/>
      <c r="Q198" s="49"/>
      <c r="R198" s="49"/>
      <c r="S198" s="49"/>
      <c r="T198" s="49"/>
    </row>
    <row r="199" spans="1:20" x14ac:dyDescent="0.2">
      <c r="A199" s="21"/>
      <c r="B199" s="45" t="s">
        <v>120</v>
      </c>
      <c r="C199" s="40">
        <v>2016</v>
      </c>
      <c r="D199" s="40">
        <v>358</v>
      </c>
      <c r="E199" s="37">
        <v>0.7583333333333333</v>
      </c>
      <c r="F199" s="36">
        <v>2016</v>
      </c>
      <c r="G199" s="36">
        <v>358</v>
      </c>
      <c r="H199" s="37">
        <v>0.83194444444444404</v>
      </c>
      <c r="I199" s="43">
        <v>50</v>
      </c>
      <c r="J199" s="43">
        <f t="shared" ref="J199:J205" si="10">IF(I199=50,10,1)</f>
        <v>10</v>
      </c>
      <c r="K199" s="43"/>
      <c r="L199" s="438">
        <f>IF($I199&lt;192,0,IF($I199&gt;597,0, IF(VLOOKUP($I199,'CIRS Table Info'!$B$6:$J$425,3,FALSE)="Co-Add", 0.5,1) * (400 + IF(VLOOKUP($I199,'CIRS Table Info'!$B$6:$J$425,5,FALSE)="Data",1800,0) + IF(VLOOKUP($I199,'CIRS Table Info'!$B$6:$J$425,7,FALSE)="Data",1800,0) )))</f>
        <v>0</v>
      </c>
      <c r="M199" s="438">
        <f>VLOOKUP($B199,'CIRS Table IDs'!$B$6:$M$1001,12,FALSE)</f>
        <v>0</v>
      </c>
      <c r="N199" s="436" t="str">
        <f t="shared" ref="N199:N241" si="11">IF(L199=M199,"",IF(RIGHT(B199,3)="_SP","",IF(I199&lt;700,"Error","Warning")))</f>
        <v/>
      </c>
      <c r="Q199" s="49"/>
      <c r="R199" s="49"/>
      <c r="S199" s="49"/>
      <c r="T199" s="49"/>
    </row>
    <row r="200" spans="1:20" x14ac:dyDescent="0.2">
      <c r="A200" s="21">
        <v>81</v>
      </c>
      <c r="B200" s="45" t="s">
        <v>493</v>
      </c>
      <c r="C200" s="36">
        <v>2016</v>
      </c>
      <c r="D200" s="36">
        <v>358</v>
      </c>
      <c r="E200" s="37">
        <v>0.83194444444444404</v>
      </c>
      <c r="F200" s="36">
        <v>2016</v>
      </c>
      <c r="G200" s="36">
        <v>359</v>
      </c>
      <c r="H200" s="37">
        <v>0.165277777777778</v>
      </c>
      <c r="I200" s="43">
        <v>830</v>
      </c>
      <c r="J200" s="43">
        <f t="shared" si="10"/>
        <v>1</v>
      </c>
      <c r="K200" s="43"/>
      <c r="L200" s="438">
        <f>IF($I200&lt;192,0,IF($I200&gt;597,0, IF(VLOOKUP($I200,'CIRS Table Info'!$B$6:$J$425,3,FALSE)="Co-Add", 0.5,1) * (400 + IF(VLOOKUP($I200,'CIRS Table Info'!$B$6:$J$425,5,FALSE)="Data",1800,0) + IF(VLOOKUP($I200,'CIRS Table Info'!$B$6:$J$425,7,FALSE)="Data",1800,0) )))</f>
        <v>0</v>
      </c>
      <c r="M200" s="438">
        <f>VLOOKUP($B200,'CIRS Table IDs'!$B$6:$M$1001,12,FALSE)</f>
        <v>3000</v>
      </c>
      <c r="N200" s="436" t="str">
        <f t="shared" si="11"/>
        <v/>
      </c>
      <c r="Q200" s="49"/>
      <c r="R200" s="49"/>
      <c r="S200" s="49"/>
      <c r="T200" s="49"/>
    </row>
    <row r="201" spans="1:20" x14ac:dyDescent="0.2">
      <c r="A201" s="21"/>
      <c r="B201" s="45" t="s">
        <v>121</v>
      </c>
      <c r="C201" s="40">
        <v>2016</v>
      </c>
      <c r="D201" s="40">
        <f>IF(H200&gt;=$E463,G200,G200-1)</f>
        <v>359</v>
      </c>
      <c r="E201" s="37">
        <f>IF(H200-$E463&gt;0,H200-$E463,H200-$E463+$E469)</f>
        <v>0.16458333333333355</v>
      </c>
      <c r="F201" s="40">
        <v>2016</v>
      </c>
      <c r="G201" s="40">
        <v>359</v>
      </c>
      <c r="H201" s="37">
        <v>0.83194444444444404</v>
      </c>
      <c r="I201" s="43">
        <v>50</v>
      </c>
      <c r="J201" s="43">
        <f t="shared" si="10"/>
        <v>10</v>
      </c>
      <c r="K201" s="43"/>
      <c r="L201" s="438">
        <f>IF($I201&lt;192,0,IF($I201&gt;597,0, IF(VLOOKUP($I201,'CIRS Table Info'!$B$6:$J$425,3,FALSE)="Co-Add", 0.5,1) * (400 + IF(VLOOKUP($I201,'CIRS Table Info'!$B$6:$J$425,5,FALSE)="Data",1800,0) + IF(VLOOKUP($I201,'CIRS Table Info'!$B$6:$J$425,7,FALSE)="Data",1800,0) )))</f>
        <v>0</v>
      </c>
      <c r="M201" s="438">
        <f>VLOOKUP($B201,'CIRS Table IDs'!$B$6:$M$1001,12,FALSE)</f>
        <v>0</v>
      </c>
      <c r="N201" s="436" t="str">
        <f t="shared" si="11"/>
        <v/>
      </c>
      <c r="Q201" s="49"/>
      <c r="R201" s="49"/>
      <c r="S201" s="49"/>
      <c r="T201" s="49"/>
    </row>
    <row r="202" spans="1:20" x14ac:dyDescent="0.2">
      <c r="A202" s="21">
        <v>82</v>
      </c>
      <c r="B202" s="45" t="s">
        <v>494</v>
      </c>
      <c r="C202" s="36">
        <v>2016</v>
      </c>
      <c r="D202" s="36">
        <v>359</v>
      </c>
      <c r="E202" s="37">
        <v>0.83194444444444404</v>
      </c>
      <c r="F202" s="36">
        <v>2016</v>
      </c>
      <c r="G202" s="36">
        <v>360</v>
      </c>
      <c r="H202" s="37">
        <v>0.165277777777778</v>
      </c>
      <c r="I202" s="43">
        <v>831</v>
      </c>
      <c r="J202" s="43">
        <f t="shared" si="10"/>
        <v>1</v>
      </c>
      <c r="K202" s="43"/>
      <c r="L202" s="438">
        <f>IF($I202&lt;192,0,IF($I202&gt;597,0, IF(VLOOKUP($I202,'CIRS Table Info'!$B$6:$J$425,3,FALSE)="Co-Add", 0.5,1) * (400 + IF(VLOOKUP($I202,'CIRS Table Info'!$B$6:$J$425,5,FALSE)="Data",1800,0) + IF(VLOOKUP($I202,'CIRS Table Info'!$B$6:$J$425,7,FALSE)="Data",1800,0) )))</f>
        <v>0</v>
      </c>
      <c r="M202" s="438">
        <f>VLOOKUP($B202,'CIRS Table IDs'!$B$6:$M$1001,12,FALSE)</f>
        <v>1500</v>
      </c>
      <c r="N202" s="436" t="str">
        <f t="shared" si="11"/>
        <v/>
      </c>
      <c r="Q202" s="49"/>
      <c r="R202" s="49"/>
      <c r="S202" s="49"/>
      <c r="T202" s="49"/>
    </row>
    <row r="203" spans="1:20" x14ac:dyDescent="0.2">
      <c r="A203" s="21"/>
      <c r="B203" s="45" t="s">
        <v>122</v>
      </c>
      <c r="C203" s="40">
        <v>2016</v>
      </c>
      <c r="D203" s="40">
        <f>IF(H202&gt;=$E463,G202,G202-1)</f>
        <v>360</v>
      </c>
      <c r="E203" s="37">
        <f>IF(H202-$E463&gt;0,H202-$E463,H202-$E463+$E469)</f>
        <v>0.16458333333333355</v>
      </c>
      <c r="F203" s="40">
        <v>2016</v>
      </c>
      <c r="G203" s="40">
        <v>360</v>
      </c>
      <c r="H203" s="37">
        <v>0.38541666666666702</v>
      </c>
      <c r="I203" s="43">
        <v>50</v>
      </c>
      <c r="J203" s="43">
        <f t="shared" si="10"/>
        <v>10</v>
      </c>
      <c r="K203" s="43"/>
      <c r="L203" s="438">
        <f>IF($I203&lt;192,0,IF($I203&gt;597,0, IF(VLOOKUP($I203,'CIRS Table Info'!$B$6:$J$425,3,FALSE)="Co-Add", 0.5,1) * (400 + IF(VLOOKUP($I203,'CIRS Table Info'!$B$6:$J$425,5,FALSE)="Data",1800,0) + IF(VLOOKUP($I203,'CIRS Table Info'!$B$6:$J$425,7,FALSE)="Data",1800,0) )))</f>
        <v>0</v>
      </c>
      <c r="M203" s="438">
        <f>VLOOKUP($B203,'CIRS Table IDs'!$B$6:$M$1001,12,FALSE)</f>
        <v>0</v>
      </c>
      <c r="N203" s="436" t="str">
        <f t="shared" si="11"/>
        <v/>
      </c>
      <c r="Q203" s="49"/>
      <c r="R203" s="49"/>
      <c r="S203" s="49"/>
      <c r="T203" s="49"/>
    </row>
    <row r="204" spans="1:20" x14ac:dyDescent="0.2">
      <c r="A204" s="21">
        <v>83</v>
      </c>
      <c r="B204" s="45" t="s">
        <v>495</v>
      </c>
      <c r="C204" s="36">
        <v>2016</v>
      </c>
      <c r="D204" s="36">
        <v>360</v>
      </c>
      <c r="E204" s="37">
        <v>0.38541666666666702</v>
      </c>
      <c r="F204" s="36">
        <v>2016</v>
      </c>
      <c r="G204" s="36">
        <v>360</v>
      </c>
      <c r="H204" s="37">
        <v>0.42708333333333298</v>
      </c>
      <c r="I204" s="43">
        <v>832</v>
      </c>
      <c r="J204" s="43">
        <f t="shared" si="10"/>
        <v>1</v>
      </c>
      <c r="K204" s="43"/>
      <c r="L204" s="438">
        <f>IF($I204&lt;192,0,IF($I204&gt;597,0, IF(VLOOKUP($I204,'CIRS Table Info'!$B$6:$J$425,3,FALSE)="Co-Add", 0.5,1) * (400 + IF(VLOOKUP($I204,'CIRS Table Info'!$B$6:$J$425,5,FALSE)="Data",1800,0) + IF(VLOOKUP($I204,'CIRS Table Info'!$B$6:$J$425,7,FALSE)="Data",1800,0) )))</f>
        <v>0</v>
      </c>
      <c r="M204" s="438">
        <f>VLOOKUP($B204,'CIRS Table IDs'!$B$6:$M$1001,12,FALSE)</f>
        <v>3000</v>
      </c>
      <c r="N204" s="436" t="str">
        <f t="shared" si="11"/>
        <v/>
      </c>
      <c r="Q204" s="49"/>
      <c r="R204" s="49"/>
      <c r="S204" s="49"/>
      <c r="T204" s="49"/>
    </row>
    <row r="205" spans="1:20" x14ac:dyDescent="0.2">
      <c r="A205" s="21"/>
      <c r="B205" s="45" t="s">
        <v>123</v>
      </c>
      <c r="C205" s="40">
        <v>2016</v>
      </c>
      <c r="D205" s="40">
        <f>IF(H204&gt;=$E463,G204,G204-1)</f>
        <v>360</v>
      </c>
      <c r="E205" s="37">
        <f>IF(H204-$E463&gt;0,H204-$E463,H204-$E463+$E469)</f>
        <v>0.42638888888888854</v>
      </c>
      <c r="F205" s="40">
        <v>2016</v>
      </c>
      <c r="G205" s="40">
        <v>360</v>
      </c>
      <c r="H205" s="37">
        <v>0.45486111111111099</v>
      </c>
      <c r="I205" s="43">
        <v>606</v>
      </c>
      <c r="J205" s="43">
        <f t="shared" si="10"/>
        <v>1</v>
      </c>
      <c r="K205" s="43"/>
      <c r="L205" s="438">
        <f>IF($I205&lt;192,0,IF($I205&gt;597,0, IF(VLOOKUP($I205,'CIRS Table Info'!$B$6:$J$425,3,FALSE)="Co-Add", 0.5,1) * (400 + IF(VLOOKUP($I205,'CIRS Table Info'!$B$6:$J$425,5,FALSE)="Data",1800,0) + IF(VLOOKUP($I205,'CIRS Table Info'!$B$6:$J$425,7,FALSE)="Data",1800,0) )))</f>
        <v>0</v>
      </c>
      <c r="M205" s="438">
        <f>VLOOKUP($B205,'CIRS Table IDs'!$B$6:$M$1001,12,FALSE)</f>
        <v>0</v>
      </c>
      <c r="N205" s="436" t="str">
        <f t="shared" si="11"/>
        <v/>
      </c>
      <c r="Q205" s="49"/>
      <c r="R205" s="49"/>
      <c r="S205" s="49"/>
      <c r="T205" s="49"/>
    </row>
    <row r="206" spans="1:20" x14ac:dyDescent="0.2">
      <c r="A206" s="21">
        <v>84</v>
      </c>
      <c r="B206" s="45" t="s">
        <v>496</v>
      </c>
      <c r="C206" s="36">
        <v>2016</v>
      </c>
      <c r="D206" s="36">
        <v>360</v>
      </c>
      <c r="E206" s="37">
        <v>0.45486111111111099</v>
      </c>
      <c r="F206" s="36">
        <v>2016</v>
      </c>
      <c r="G206" s="36">
        <v>360</v>
      </c>
      <c r="H206" s="37">
        <v>0.51736111111111105</v>
      </c>
      <c r="I206" s="43">
        <v>341</v>
      </c>
      <c r="J206" s="43">
        <v>1</v>
      </c>
      <c r="K206" s="43"/>
      <c r="L206" s="438">
        <f>IF($I206&lt;192,0,IF($I206&gt;597,0, IF(VLOOKUP($I206,'CIRS Table Info'!$B$6:$J$425,3,FALSE)="Co-Add", 0.5,1) * (400 + IF(VLOOKUP($I206,'CIRS Table Info'!$B$6:$J$425,5,FALSE)="Data",1800,0) + IF(VLOOKUP($I206,'CIRS Table Info'!$B$6:$J$425,7,FALSE)="Data",1800,0) )))</f>
        <v>4000</v>
      </c>
      <c r="M206" s="438">
        <f>VLOOKUP($B206,'CIRS Table IDs'!$B$6:$M$1001,12,FALSE)</f>
        <v>4000</v>
      </c>
      <c r="N206" s="436" t="str">
        <f t="shared" si="11"/>
        <v/>
      </c>
      <c r="Q206" s="49"/>
      <c r="R206" s="49"/>
      <c r="S206" s="49"/>
      <c r="T206" s="49"/>
    </row>
    <row r="207" spans="1:20" x14ac:dyDescent="0.2">
      <c r="A207" s="21"/>
      <c r="B207" s="45" t="s">
        <v>124</v>
      </c>
      <c r="C207" s="40">
        <v>2016</v>
      </c>
      <c r="D207" s="40">
        <f>IF(H206&gt;=$E463,G206,G206-1)</f>
        <v>360</v>
      </c>
      <c r="E207" s="37">
        <f>IF(H206-$E463&gt;0,H206-$E463,H206-$E463+$E469)</f>
        <v>0.51666666666666661</v>
      </c>
      <c r="F207" s="40">
        <v>2016</v>
      </c>
      <c r="G207" s="40">
        <v>361</v>
      </c>
      <c r="H207" s="37">
        <v>0.125</v>
      </c>
      <c r="I207" s="43">
        <v>600</v>
      </c>
      <c r="J207" s="43">
        <f>IF(I207=50,10,1)</f>
        <v>1</v>
      </c>
      <c r="K207" s="43"/>
      <c r="L207" s="438">
        <f>IF($I207&lt;192,0,IF($I207&gt;597,0, IF(VLOOKUP($I207,'CIRS Table Info'!$B$6:$J$425,3,FALSE)="Co-Add", 0.5,1) * (400 + IF(VLOOKUP($I207,'CIRS Table Info'!$B$6:$J$425,5,FALSE)="Data",1800,0) + IF(VLOOKUP($I207,'CIRS Table Info'!$B$6:$J$425,7,FALSE)="Data",1800,0) )))</f>
        <v>0</v>
      </c>
      <c r="M207" s="438">
        <f>VLOOKUP($B207,'CIRS Table IDs'!$B$6:$M$1001,12,FALSE)</f>
        <v>0</v>
      </c>
      <c r="N207" s="436" t="str">
        <f t="shared" si="11"/>
        <v/>
      </c>
      <c r="Q207" s="49"/>
      <c r="R207" s="49"/>
      <c r="S207" s="49"/>
      <c r="T207" s="49"/>
    </row>
    <row r="208" spans="1:20" x14ac:dyDescent="0.2">
      <c r="A208" s="21">
        <v>85</v>
      </c>
      <c r="B208" s="45" t="s">
        <v>497</v>
      </c>
      <c r="C208" s="36">
        <v>2016</v>
      </c>
      <c r="D208" s="36">
        <v>361</v>
      </c>
      <c r="E208" s="37">
        <v>0.125</v>
      </c>
      <c r="F208" s="36">
        <v>2016</v>
      </c>
      <c r="G208" s="36">
        <v>361</v>
      </c>
      <c r="H208" s="37">
        <v>0.35416666666666702</v>
      </c>
      <c r="I208" s="43">
        <v>834</v>
      </c>
      <c r="J208" s="43">
        <f>IF(I208=50,10,1)</f>
        <v>1</v>
      </c>
      <c r="K208" s="43"/>
      <c r="L208" s="438">
        <f>IF($I208&lt;192,0,IF($I208&gt;597,0, IF(VLOOKUP($I208,'CIRS Table Info'!$B$6:$J$425,3,FALSE)="Co-Add", 0.5,1) * (400 + IF(VLOOKUP($I208,'CIRS Table Info'!$B$6:$J$425,5,FALSE)="Data",1800,0) + IF(VLOOKUP($I208,'CIRS Table Info'!$B$6:$J$425,7,FALSE)="Data",1800,0) )))</f>
        <v>0</v>
      </c>
      <c r="M208" s="438">
        <f>VLOOKUP($B208,'CIRS Table IDs'!$B$6:$M$1001,12,FALSE)</f>
        <v>4000</v>
      </c>
      <c r="N208" s="436" t="str">
        <f t="shared" si="11"/>
        <v>Warning</v>
      </c>
      <c r="Q208" s="49"/>
      <c r="R208" s="49"/>
      <c r="S208" s="49"/>
      <c r="T208" s="49"/>
    </row>
    <row r="209" spans="1:20" x14ac:dyDescent="0.2">
      <c r="A209" s="21"/>
      <c r="B209" s="45" t="s">
        <v>125</v>
      </c>
      <c r="C209" s="40">
        <v>2016</v>
      </c>
      <c r="D209" s="40">
        <f>IF(H208&gt;=$E463,G208,G208-1)</f>
        <v>361</v>
      </c>
      <c r="E209" s="37">
        <f>IF(H208-$E463&gt;0,H208-$E463,H208-$E463+$E469)</f>
        <v>0.35347222222222258</v>
      </c>
      <c r="F209" s="40">
        <v>2016</v>
      </c>
      <c r="G209" s="40">
        <v>361</v>
      </c>
      <c r="H209" s="37">
        <v>0.35416666666666702</v>
      </c>
      <c r="I209" s="43">
        <v>600</v>
      </c>
      <c r="J209" s="43">
        <f>IF(I209=50,10,1)</f>
        <v>1</v>
      </c>
      <c r="K209" s="43"/>
      <c r="L209" s="438">
        <f>IF($I209&lt;192,0,IF($I209&gt;597,0, IF(VLOOKUP($I209,'CIRS Table Info'!$B$6:$J$425,3,FALSE)="Co-Add", 0.5,1) * (400 + IF(VLOOKUP($I209,'CIRS Table Info'!$B$6:$J$425,5,FALSE)="Data",1800,0) + IF(VLOOKUP($I209,'CIRS Table Info'!$B$6:$J$425,7,FALSE)="Data",1800,0) )))</f>
        <v>0</v>
      </c>
      <c r="M209" s="438">
        <f>VLOOKUP($B209,'CIRS Table IDs'!$B$6:$M$1001,12,FALSE)</f>
        <v>0</v>
      </c>
      <c r="N209" s="436" t="str">
        <f t="shared" si="11"/>
        <v/>
      </c>
      <c r="Q209" s="49"/>
      <c r="R209" s="49"/>
      <c r="S209" s="49"/>
      <c r="T209" s="49"/>
    </row>
    <row r="210" spans="1:20" x14ac:dyDescent="0.2">
      <c r="A210" s="21">
        <v>86</v>
      </c>
      <c r="B210" s="45" t="s">
        <v>499</v>
      </c>
      <c r="C210" s="36">
        <v>2016</v>
      </c>
      <c r="D210" s="36">
        <v>361</v>
      </c>
      <c r="E210" s="37">
        <v>0.35416666666666702</v>
      </c>
      <c r="F210" s="36">
        <f>IF($G210&gt;=$D210,$C210,$C210+1)</f>
        <v>2016</v>
      </c>
      <c r="G210" s="36">
        <f>IF(MOD($C$5,4)&lt;&gt;0,IF($D210+IF($H210&gt;=$E210,0,IF($H210+$E469&gt;=$E210,1,2))&gt;365,1,$D210+IF($H210&gt;=$E210,0,IF($H210+$E469&gt;=$E210,1,2))),IF($D210+IF($H210&gt;=$E210,0,IF($H210+$E469&gt;=$E210,1,2))&gt;366,1,$D210+IF($H210&gt;=$E210,0,IF($H210+$E469&gt;=$E210,1,2))))</f>
        <v>361</v>
      </c>
      <c r="H210" s="37">
        <v>0.35752314814814817</v>
      </c>
      <c r="I210" s="496">
        <v>209</v>
      </c>
      <c r="J210" s="43">
        <v>1</v>
      </c>
      <c r="K210" s="43"/>
      <c r="L210" s="438">
        <f>IF($I210&lt;192,0,IF($I210&gt;597,0, IF(VLOOKUP($I210,'CIRS Table Info'!$B$6:$J$425,3,FALSE)="Co-Add", 0.5,1) * (400 + IF(VLOOKUP($I210,'CIRS Table Info'!$B$6:$J$425,5,FALSE)="Data",1800,0) + IF(VLOOKUP($I210,'CIRS Table Info'!$B$6:$J$425,7,FALSE)="Data",1800,0) )))</f>
        <v>4000</v>
      </c>
      <c r="M210" s="438">
        <f>VLOOKUP($B210,'CIRS Table IDs'!$B$6:$M$1001,12,FALSE)</f>
        <v>4000</v>
      </c>
      <c r="N210" s="436" t="str">
        <f t="shared" si="11"/>
        <v/>
      </c>
      <c r="Q210" s="49"/>
      <c r="R210" s="49"/>
      <c r="S210" s="49"/>
      <c r="T210" s="49"/>
    </row>
    <row r="211" spans="1:20" x14ac:dyDescent="0.2">
      <c r="A211" s="21"/>
      <c r="B211" s="45" t="s">
        <v>499</v>
      </c>
      <c r="C211" s="36">
        <f>$F210</f>
        <v>2016</v>
      </c>
      <c r="D211" s="36">
        <f>$G210</f>
        <v>361</v>
      </c>
      <c r="E211" s="37">
        <v>0.35752314814814817</v>
      </c>
      <c r="F211" s="36">
        <f>IF($G211&gt;=$D211,$C211,$C211+1)</f>
        <v>2016</v>
      </c>
      <c r="G211" s="36">
        <f>IF(0.515972222222222 - TIMEVALUE("00:03:10")&gt;=0, 361, 360)</f>
        <v>361</v>
      </c>
      <c r="H211" s="37">
        <v>0.51192129629629635</v>
      </c>
      <c r="I211" s="496">
        <v>206</v>
      </c>
      <c r="J211" s="43">
        <v>1</v>
      </c>
      <c r="K211" s="43"/>
      <c r="L211" s="438">
        <f>IF($I211&lt;192,0,IF($I211&gt;597,0, IF(VLOOKUP($I211,'CIRS Table Info'!$B$6:$J$425,3,FALSE)="Co-Add", 0.5,1) * (400 + IF(VLOOKUP($I211,'CIRS Table Info'!$B$6:$J$425,5,FALSE)="Data",1800,0) + IF(VLOOKUP($I211,'CIRS Table Info'!$B$6:$J$425,7,FALSE)="Data",1800,0) )))</f>
        <v>4000</v>
      </c>
      <c r="M211" s="438">
        <f>VLOOKUP($B211,'CIRS Table IDs'!$B$6:$M$1001,12,FALSE)</f>
        <v>4000</v>
      </c>
      <c r="N211" s="436" t="str">
        <f t="shared" si="11"/>
        <v/>
      </c>
      <c r="Q211" s="49"/>
      <c r="R211" s="49"/>
      <c r="S211" s="49"/>
      <c r="T211" s="49"/>
    </row>
    <row r="212" spans="1:20" x14ac:dyDescent="0.2">
      <c r="A212" s="21"/>
      <c r="B212" s="45" t="s">
        <v>499</v>
      </c>
      <c r="C212" s="36">
        <f>$F211</f>
        <v>2016</v>
      </c>
      <c r="D212" s="36">
        <f>$G211</f>
        <v>361</v>
      </c>
      <c r="E212" s="37">
        <v>0.51192129629629635</v>
      </c>
      <c r="F212" s="36">
        <f>IF($G212&gt;=$D212,$C212,$C212+1)</f>
        <v>2016</v>
      </c>
      <c r="G212" s="36">
        <v>361</v>
      </c>
      <c r="H212" s="37">
        <v>0.51597222222222205</v>
      </c>
      <c r="I212" s="496">
        <v>209</v>
      </c>
      <c r="J212" s="43">
        <v>1</v>
      </c>
      <c r="K212" s="43"/>
      <c r="L212" s="438">
        <f>IF($I212&lt;192,0,IF($I212&gt;597,0, IF(VLOOKUP($I212,'CIRS Table Info'!$B$6:$J$425,3,FALSE)="Co-Add", 0.5,1) * (400 + IF(VLOOKUP($I212,'CIRS Table Info'!$B$6:$J$425,5,FALSE)="Data",1800,0) + IF(VLOOKUP($I212,'CIRS Table Info'!$B$6:$J$425,7,FALSE)="Data",1800,0) )))</f>
        <v>4000</v>
      </c>
      <c r="M212" s="438">
        <f>VLOOKUP($B212,'CIRS Table IDs'!$B$6:$M$1001,12,FALSE)</f>
        <v>4000</v>
      </c>
      <c r="N212" s="436" t="str">
        <f t="shared" si="11"/>
        <v/>
      </c>
      <c r="Q212" s="49"/>
      <c r="R212" s="49"/>
      <c r="S212" s="49"/>
      <c r="T212" s="49"/>
    </row>
    <row r="213" spans="1:20" x14ac:dyDescent="0.2">
      <c r="A213" s="21"/>
      <c r="B213" s="45" t="s">
        <v>126</v>
      </c>
      <c r="C213" s="36">
        <v>2016</v>
      </c>
      <c r="D213" s="36">
        <f>IF(H212&gt;=$E463,G212,G212-1)</f>
        <v>361</v>
      </c>
      <c r="E213" s="37">
        <f>IF(H212-$E463&gt;0,H212-$E463,H212-$E463+$E469)</f>
        <v>0.51527777777777761</v>
      </c>
      <c r="F213" s="40">
        <v>2016</v>
      </c>
      <c r="G213" s="40">
        <v>361</v>
      </c>
      <c r="H213" s="37">
        <v>0.51597222222222205</v>
      </c>
      <c r="I213" s="43">
        <v>602</v>
      </c>
      <c r="J213" s="43">
        <f>IF(I213=50,10,1)</f>
        <v>1</v>
      </c>
      <c r="K213" s="43"/>
      <c r="L213" s="438">
        <f>IF($I213&lt;192,0,IF($I213&gt;597,0, IF(VLOOKUP($I213,'CIRS Table Info'!$B$6:$J$425,3,FALSE)="Co-Add", 0.5,1) * (400 + IF(VLOOKUP($I213,'CIRS Table Info'!$B$6:$J$425,5,FALSE)="Data",1800,0) + IF(VLOOKUP($I213,'CIRS Table Info'!$B$6:$J$425,7,FALSE)="Data",1800,0) )))</f>
        <v>0</v>
      </c>
      <c r="M213" s="438">
        <f>VLOOKUP($B213,'CIRS Table IDs'!$B$6:$M$1001,12,FALSE)</f>
        <v>0</v>
      </c>
      <c r="N213" s="436" t="str">
        <f t="shared" si="11"/>
        <v/>
      </c>
      <c r="Q213" s="49"/>
      <c r="R213" s="49"/>
      <c r="S213" s="49"/>
      <c r="T213" s="49"/>
    </row>
    <row r="214" spans="1:20" x14ac:dyDescent="0.2">
      <c r="A214" s="21">
        <v>87</v>
      </c>
      <c r="B214" s="45" t="s">
        <v>502</v>
      </c>
      <c r="C214" s="36">
        <v>2016</v>
      </c>
      <c r="D214" s="36">
        <v>361</v>
      </c>
      <c r="E214" s="37">
        <v>0.51597222222222205</v>
      </c>
      <c r="F214" s="36">
        <f>IF($G214&gt;=$D214,$C214,$C214+1)</f>
        <v>2016</v>
      </c>
      <c r="G214" s="36">
        <f>IF(MOD($C$5,4)&lt;&gt;0,IF($D214+IF($H214&gt;=$E214,0,IF($H214+$E469&gt;=$E214,1,2))&gt;365,1,$D214+IF($H214&gt;=$E214,0,IF($H214+$E469&gt;=$E214,1,2))),IF($D214+IF($H214&gt;=$E214,0,IF($H214+$E469&gt;=$E214,1,2))&gt;366,1,$D214+IF($H214&gt;=$E214,0,IF($H214+$E469&gt;=$E214,1,2))))</f>
        <v>361</v>
      </c>
      <c r="H214" s="37">
        <f>IF(E214 + TIMEVALUE("00:04:50")&gt;=1,E214 + TIMEVALUE("00:04:50")-1,E214 + TIMEVALUE("00:04:50"))</f>
        <v>0.51932870370370354</v>
      </c>
      <c r="I214" s="496">
        <v>234</v>
      </c>
      <c r="J214" s="43">
        <v>1</v>
      </c>
      <c r="K214" s="43"/>
      <c r="L214" s="438">
        <f>IF($I214&lt;192,0,IF($I214&gt;597,0, IF(VLOOKUP($I214,'CIRS Table Info'!$B$6:$J$425,3,FALSE)="Co-Add", 0.5,1) * (400 + IF(VLOOKUP($I214,'CIRS Table Info'!$B$6:$J$425,5,FALSE)="Data",1800,0) + IF(VLOOKUP($I214,'CIRS Table Info'!$B$6:$J$425,7,FALSE)="Data",1800,0) )))</f>
        <v>4000</v>
      </c>
      <c r="M214" s="438">
        <f>VLOOKUP($B214,'CIRS Table IDs'!$B$6:$M$1001,12,FALSE)</f>
        <v>4000</v>
      </c>
      <c r="N214" s="436" t="str">
        <f t="shared" si="11"/>
        <v/>
      </c>
      <c r="Q214" s="49"/>
      <c r="R214" s="49"/>
      <c r="S214" s="49"/>
      <c r="T214" s="49"/>
    </row>
    <row r="215" spans="1:20" x14ac:dyDescent="0.2">
      <c r="A215" s="21"/>
      <c r="B215" s="45" t="s">
        <v>502</v>
      </c>
      <c r="C215" s="36">
        <f>$F214</f>
        <v>2016</v>
      </c>
      <c r="D215" s="36">
        <f>$G214</f>
        <v>361</v>
      </c>
      <c r="E215" s="37">
        <f>IF(E214 + TIMEVALUE("00:04:50")&gt;=1,E214 + TIMEVALUE("00:04:50")-1,E214 + TIMEVALUE("00:04:50"))</f>
        <v>0.51932870370370354</v>
      </c>
      <c r="F215" s="36">
        <f>IF($G215&gt;=$D215,$C215,$C215+1)</f>
        <v>2016</v>
      </c>
      <c r="G215" s="36">
        <f>IF(0.682638888888889 - TIMEVALUE("00:05:50")&gt;=0, 361, 360)</f>
        <v>361</v>
      </c>
      <c r="H215" s="37">
        <f>IF(0.682638888888889 - TIMEVALUE("00:05:50")&gt;=0, 0.682638888888889 - TIMEVALUE("00:05:50"), 0.682638888888889 - TIMEVALUE("00:05:50") +$E469)</f>
        <v>0.67858796296296309</v>
      </c>
      <c r="I215" s="496">
        <v>231</v>
      </c>
      <c r="J215" s="43">
        <v>1</v>
      </c>
      <c r="K215" s="43"/>
      <c r="L215" s="438">
        <f>IF($I215&lt;192,0,IF($I215&gt;597,0, IF(VLOOKUP($I215,'CIRS Table Info'!$B$6:$J$425,3,FALSE)="Co-Add", 0.5,1) * (400 + IF(VLOOKUP($I215,'CIRS Table Info'!$B$6:$J$425,5,FALSE)="Data",1800,0) + IF(VLOOKUP($I215,'CIRS Table Info'!$B$6:$J$425,7,FALSE)="Data",1800,0) )))</f>
        <v>4000</v>
      </c>
      <c r="M215" s="438">
        <f>VLOOKUP($B215,'CIRS Table IDs'!$B$6:$M$1001,12,FALSE)</f>
        <v>4000</v>
      </c>
      <c r="N215" s="436" t="str">
        <f t="shared" si="11"/>
        <v/>
      </c>
      <c r="Q215" s="49"/>
      <c r="R215" s="49"/>
      <c r="S215" s="49"/>
      <c r="T215" s="49"/>
    </row>
    <row r="216" spans="1:20" x14ac:dyDescent="0.2">
      <c r="A216" s="21"/>
      <c r="B216" s="45" t="s">
        <v>502</v>
      </c>
      <c r="C216" s="36">
        <f>$F215</f>
        <v>2016</v>
      </c>
      <c r="D216" s="36">
        <f>$G215</f>
        <v>361</v>
      </c>
      <c r="E216" s="37">
        <f>IF(0.682638888888889 - TIMEVALUE("00:05:50")&gt;=0, 0.682638888888889 - TIMEVALUE("00:05:50"), 0.682638888888889 - TIMEVALUE("00:05:50") +$E469)</f>
        <v>0.67858796296296309</v>
      </c>
      <c r="F216" s="36">
        <f>IF($G216&gt;=$D216,$C216,$C216+1)</f>
        <v>2016</v>
      </c>
      <c r="G216" s="36">
        <v>361</v>
      </c>
      <c r="H216" s="37">
        <v>0.68263888888888902</v>
      </c>
      <c r="I216" s="496">
        <v>234</v>
      </c>
      <c r="J216" s="43">
        <v>1</v>
      </c>
      <c r="K216" s="43"/>
      <c r="L216" s="438">
        <f>IF($I216&lt;192,0,IF($I216&gt;597,0, IF(VLOOKUP($I216,'CIRS Table Info'!$B$6:$J$425,3,FALSE)="Co-Add", 0.5,1) * (400 + IF(VLOOKUP($I216,'CIRS Table Info'!$B$6:$J$425,5,FALSE)="Data",1800,0) + IF(VLOOKUP($I216,'CIRS Table Info'!$B$6:$J$425,7,FALSE)="Data",1800,0) )))</f>
        <v>4000</v>
      </c>
      <c r="M216" s="438">
        <f>VLOOKUP($B216,'CIRS Table IDs'!$B$6:$M$1001,12,FALSE)</f>
        <v>4000</v>
      </c>
      <c r="N216" s="436" t="str">
        <f t="shared" si="11"/>
        <v/>
      </c>
      <c r="Q216" s="49"/>
      <c r="R216" s="49"/>
      <c r="S216" s="49"/>
      <c r="T216" s="49"/>
    </row>
    <row r="217" spans="1:20" x14ac:dyDescent="0.2">
      <c r="A217" s="21"/>
      <c r="B217" s="45" t="s">
        <v>127</v>
      </c>
      <c r="C217" s="36">
        <v>2016</v>
      </c>
      <c r="D217" s="36">
        <f>IF(H216&gt;=$E463,G216,G216-1)</f>
        <v>361</v>
      </c>
      <c r="E217" s="37">
        <f>IF(H216-$E463&gt;0,H216-$E463,H216-$E463+$E469)</f>
        <v>0.68194444444444458</v>
      </c>
      <c r="F217" s="40">
        <v>2016</v>
      </c>
      <c r="G217" s="40">
        <v>362</v>
      </c>
      <c r="H217" s="37">
        <v>0.30138888888888898</v>
      </c>
      <c r="I217" s="43">
        <v>50</v>
      </c>
      <c r="J217" s="43">
        <f t="shared" ref="J217:J223" si="12">IF(I217=50,10,1)</f>
        <v>10</v>
      </c>
      <c r="K217" s="43"/>
      <c r="L217" s="438">
        <f>IF($I217&lt;192,0,IF($I217&gt;597,0, IF(VLOOKUP($I217,'CIRS Table Info'!$B$6:$J$425,3,FALSE)="Co-Add", 0.5,1) * (400 + IF(VLOOKUP($I217,'CIRS Table Info'!$B$6:$J$425,5,FALSE)="Data",1800,0) + IF(VLOOKUP($I217,'CIRS Table Info'!$B$6:$J$425,7,FALSE)="Data",1800,0) )))</f>
        <v>0</v>
      </c>
      <c r="M217" s="438">
        <f>VLOOKUP($B217,'CIRS Table IDs'!$B$6:$M$1001,12,FALSE)</f>
        <v>0</v>
      </c>
      <c r="N217" s="436" t="str">
        <f t="shared" si="11"/>
        <v/>
      </c>
      <c r="Q217" s="49"/>
      <c r="R217" s="49"/>
      <c r="S217" s="49"/>
      <c r="T217" s="49"/>
    </row>
    <row r="218" spans="1:20" x14ac:dyDescent="0.2">
      <c r="A218" s="21">
        <v>88</v>
      </c>
      <c r="B218" s="45" t="s">
        <v>504</v>
      </c>
      <c r="C218" s="36">
        <v>2016</v>
      </c>
      <c r="D218" s="36">
        <v>362</v>
      </c>
      <c r="E218" s="37">
        <v>0.30138888888888898</v>
      </c>
      <c r="F218" s="36">
        <v>2016</v>
      </c>
      <c r="G218" s="36">
        <v>362</v>
      </c>
      <c r="H218" s="37">
        <v>0.54097222222222197</v>
      </c>
      <c r="I218" s="43">
        <v>837</v>
      </c>
      <c r="J218" s="43">
        <f t="shared" si="12"/>
        <v>1</v>
      </c>
      <c r="K218" s="43"/>
      <c r="L218" s="438">
        <f>IF($I218&lt;192,0,IF($I218&gt;597,0, IF(VLOOKUP($I218,'CIRS Table Info'!$B$6:$J$425,3,FALSE)="Co-Add", 0.5,1) * (400 + IF(VLOOKUP($I218,'CIRS Table Info'!$B$6:$J$425,5,FALSE)="Data",1800,0) + IF(VLOOKUP($I218,'CIRS Table Info'!$B$6:$J$425,7,FALSE)="Data",1800,0) )))</f>
        <v>0</v>
      </c>
      <c r="M218" s="438">
        <f>VLOOKUP($B218,'CIRS Table IDs'!$B$6:$M$1001,12,FALSE)</f>
        <v>3000</v>
      </c>
      <c r="N218" s="436" t="str">
        <f t="shared" si="11"/>
        <v/>
      </c>
      <c r="Q218" s="49"/>
      <c r="R218" s="49"/>
      <c r="S218" s="49"/>
      <c r="T218" s="49"/>
    </row>
    <row r="219" spans="1:20" x14ac:dyDescent="0.2">
      <c r="A219" s="21"/>
      <c r="B219" s="45" t="s">
        <v>128</v>
      </c>
      <c r="C219" s="40">
        <v>2016</v>
      </c>
      <c r="D219" s="40">
        <f>IF(H218&gt;=$E463,G218,G218-1)</f>
        <v>362</v>
      </c>
      <c r="E219" s="37">
        <f>IF(H218-$E463&gt;0,H218-$E463,H218-$E463+$E469)</f>
        <v>0.54027777777777752</v>
      </c>
      <c r="F219" s="40">
        <v>2016</v>
      </c>
      <c r="G219" s="40">
        <v>363</v>
      </c>
      <c r="H219" s="37">
        <v>0.82708333333333295</v>
      </c>
      <c r="I219" s="43">
        <v>50</v>
      </c>
      <c r="J219" s="43">
        <f t="shared" si="12"/>
        <v>10</v>
      </c>
      <c r="K219" s="43"/>
      <c r="L219" s="438">
        <f>IF($I219&lt;192,0,IF($I219&gt;597,0, IF(VLOOKUP($I219,'CIRS Table Info'!$B$6:$J$425,3,FALSE)="Co-Add", 0.5,1) * (400 + IF(VLOOKUP($I219,'CIRS Table Info'!$B$6:$J$425,5,FALSE)="Data",1800,0) + IF(VLOOKUP($I219,'CIRS Table Info'!$B$6:$J$425,7,FALSE)="Data",1800,0) )))</f>
        <v>0</v>
      </c>
      <c r="M219" s="438">
        <f>VLOOKUP($B219,'CIRS Table IDs'!$B$6:$M$1001,12,FALSE)</f>
        <v>0</v>
      </c>
      <c r="N219" s="436" t="str">
        <f t="shared" si="11"/>
        <v/>
      </c>
      <c r="Q219" s="49"/>
      <c r="R219" s="49"/>
      <c r="S219" s="49"/>
      <c r="T219" s="49"/>
    </row>
    <row r="220" spans="1:20" x14ac:dyDescent="0.2">
      <c r="A220" s="21">
        <v>89</v>
      </c>
      <c r="B220" s="45" t="s">
        <v>505</v>
      </c>
      <c r="C220" s="36">
        <v>2016</v>
      </c>
      <c r="D220" s="36">
        <v>363</v>
      </c>
      <c r="E220" s="37">
        <v>0.82708333333333295</v>
      </c>
      <c r="F220" s="36">
        <v>2016</v>
      </c>
      <c r="G220" s="36">
        <v>364</v>
      </c>
      <c r="H220" s="37">
        <v>0.16041666666666701</v>
      </c>
      <c r="I220" s="43">
        <v>838</v>
      </c>
      <c r="J220" s="43">
        <f t="shared" si="12"/>
        <v>1</v>
      </c>
      <c r="K220" s="43"/>
      <c r="L220" s="438">
        <f>IF($I220&lt;192,0,IF($I220&gt;597,0, IF(VLOOKUP($I220,'CIRS Table Info'!$B$6:$J$425,3,FALSE)="Co-Add", 0.5,1) * (400 + IF(VLOOKUP($I220,'CIRS Table Info'!$B$6:$J$425,5,FALSE)="Data",1800,0) + IF(VLOOKUP($I220,'CIRS Table Info'!$B$6:$J$425,7,FALSE)="Data",1800,0) )))</f>
        <v>0</v>
      </c>
      <c r="M220" s="438">
        <f>VLOOKUP($B220,'CIRS Table IDs'!$B$6:$M$1001,12,FALSE)</f>
        <v>3000</v>
      </c>
      <c r="N220" s="436" t="str">
        <f t="shared" si="11"/>
        <v/>
      </c>
      <c r="Q220" s="49"/>
      <c r="R220" s="49"/>
      <c r="S220" s="49"/>
      <c r="T220" s="49"/>
    </row>
    <row r="221" spans="1:20" x14ac:dyDescent="0.2">
      <c r="A221" s="21"/>
      <c r="B221" s="45" t="s">
        <v>129</v>
      </c>
      <c r="C221" s="40">
        <v>2016</v>
      </c>
      <c r="D221" s="40">
        <f>IF(H220&gt;=$E463,G220,G220-1)</f>
        <v>364</v>
      </c>
      <c r="E221" s="37">
        <f>IF(H220-$E463&gt;0,H220-$E463,H220-$E463+$E469)</f>
        <v>0.15972222222222257</v>
      </c>
      <c r="F221" s="40">
        <v>2016</v>
      </c>
      <c r="G221" s="40">
        <v>365</v>
      </c>
      <c r="H221" s="37">
        <v>0.280555555555556</v>
      </c>
      <c r="I221" s="43">
        <v>50</v>
      </c>
      <c r="J221" s="43">
        <f t="shared" si="12"/>
        <v>10</v>
      </c>
      <c r="K221" s="43"/>
      <c r="L221" s="438">
        <f>IF($I221&lt;192,0,IF($I221&gt;597,0, IF(VLOOKUP($I221,'CIRS Table Info'!$B$6:$J$425,3,FALSE)="Co-Add", 0.5,1) * (400 + IF(VLOOKUP($I221,'CIRS Table Info'!$B$6:$J$425,5,FALSE)="Data",1800,0) + IF(VLOOKUP($I221,'CIRS Table Info'!$B$6:$J$425,7,FALSE)="Data",1800,0) )))</f>
        <v>0</v>
      </c>
      <c r="M221" s="438">
        <f>VLOOKUP($B221,'CIRS Table IDs'!$B$6:$M$1001,12,FALSE)</f>
        <v>0</v>
      </c>
      <c r="N221" s="436" t="str">
        <f t="shared" si="11"/>
        <v/>
      </c>
      <c r="Q221" s="49"/>
      <c r="R221" s="49"/>
      <c r="S221" s="49"/>
      <c r="T221" s="49"/>
    </row>
    <row r="222" spans="1:20" x14ac:dyDescent="0.2">
      <c r="A222" s="21">
        <v>90</v>
      </c>
      <c r="B222" s="45" t="s">
        <v>506</v>
      </c>
      <c r="C222" s="36">
        <v>2016</v>
      </c>
      <c r="D222" s="36">
        <v>365</v>
      </c>
      <c r="E222" s="37">
        <v>0.280555555555556</v>
      </c>
      <c r="F222" s="36">
        <v>2016</v>
      </c>
      <c r="G222" s="36">
        <v>365</v>
      </c>
      <c r="H222" s="37">
        <v>0.55138888888888904</v>
      </c>
      <c r="I222" s="43">
        <v>839</v>
      </c>
      <c r="J222" s="43">
        <f t="shared" si="12"/>
        <v>1</v>
      </c>
      <c r="K222" s="43"/>
      <c r="L222" s="438">
        <f>IF($I222&lt;192,0,IF($I222&gt;597,0, IF(VLOOKUP($I222,'CIRS Table Info'!$B$6:$J$425,3,FALSE)="Co-Add", 0.5,1) * (400 + IF(VLOOKUP($I222,'CIRS Table Info'!$B$6:$J$425,5,FALSE)="Data",1800,0) + IF(VLOOKUP($I222,'CIRS Table Info'!$B$6:$J$425,7,FALSE)="Data",1800,0) )))</f>
        <v>0</v>
      </c>
      <c r="M222" s="438">
        <f>VLOOKUP($B222,'CIRS Table IDs'!$B$6:$M$1001,12,FALSE)</f>
        <v>3000</v>
      </c>
      <c r="N222" s="436" t="str">
        <f t="shared" si="11"/>
        <v/>
      </c>
      <c r="Q222" s="49"/>
      <c r="R222" s="49"/>
      <c r="S222" s="49"/>
      <c r="T222" s="49"/>
    </row>
    <row r="223" spans="1:20" x14ac:dyDescent="0.2">
      <c r="A223" s="21"/>
      <c r="B223" s="45" t="s">
        <v>130</v>
      </c>
      <c r="C223" s="40">
        <v>2016</v>
      </c>
      <c r="D223" s="40">
        <f>IF(H222&gt;=$E463,G222,G222-1)</f>
        <v>365</v>
      </c>
      <c r="E223" s="37">
        <f>IF(H222-$E463&gt;0,H222-$E463,H222-$E463+$E469)</f>
        <v>0.5506944444444446</v>
      </c>
      <c r="F223" s="40">
        <v>2016</v>
      </c>
      <c r="G223" s="40">
        <v>365</v>
      </c>
      <c r="H223" s="37">
        <v>0.89652777777777803</v>
      </c>
      <c r="I223" s="43">
        <v>606</v>
      </c>
      <c r="J223" s="43">
        <f t="shared" si="12"/>
        <v>1</v>
      </c>
      <c r="K223" s="43"/>
      <c r="L223" s="438">
        <f>IF($I223&lt;192,0,IF($I223&gt;597,0, IF(VLOOKUP($I223,'CIRS Table Info'!$B$6:$J$425,3,FALSE)="Co-Add", 0.5,1) * (400 + IF(VLOOKUP($I223,'CIRS Table Info'!$B$6:$J$425,5,FALSE)="Data",1800,0) + IF(VLOOKUP($I223,'CIRS Table Info'!$B$6:$J$425,7,FALSE)="Data",1800,0) )))</f>
        <v>0</v>
      </c>
      <c r="M223" s="438">
        <f>VLOOKUP($B223,'CIRS Table IDs'!$B$6:$M$1001,12,FALSE)</f>
        <v>0</v>
      </c>
      <c r="N223" s="436" t="str">
        <f t="shared" si="11"/>
        <v/>
      </c>
      <c r="Q223" s="49"/>
      <c r="R223" s="49"/>
      <c r="S223" s="49"/>
      <c r="T223" s="49"/>
    </row>
    <row r="224" spans="1:20" x14ac:dyDescent="0.2">
      <c r="A224" s="21">
        <v>91</v>
      </c>
      <c r="B224" s="45" t="s">
        <v>507</v>
      </c>
      <c r="C224" s="36">
        <v>2016</v>
      </c>
      <c r="D224" s="36">
        <v>365</v>
      </c>
      <c r="E224" s="37">
        <v>0.89652777777777803</v>
      </c>
      <c r="F224" s="36">
        <v>2016</v>
      </c>
      <c r="G224" s="36">
        <v>366</v>
      </c>
      <c r="H224" s="37">
        <v>0.104861111111111</v>
      </c>
      <c r="I224" s="43">
        <v>541</v>
      </c>
      <c r="J224" s="43">
        <v>1</v>
      </c>
      <c r="K224" s="43"/>
      <c r="L224" s="438">
        <f>IF($I224&lt;192,0,IF($I224&gt;597,0, IF(VLOOKUP($I224,'CIRS Table Info'!$B$6:$J$425,3,FALSE)="Co-Add", 0.5,1) * (400 + IF(VLOOKUP($I224,'CIRS Table Info'!$B$6:$J$425,5,FALSE)="Data",1800,0) + IF(VLOOKUP($I224,'CIRS Table Info'!$B$6:$J$425,7,FALSE)="Data",1800,0) )))</f>
        <v>4000</v>
      </c>
      <c r="M224" s="438">
        <f>VLOOKUP($B224,'CIRS Table IDs'!$B$6:$M$1001,12,FALSE)</f>
        <v>3600</v>
      </c>
      <c r="N224" s="436" t="str">
        <f t="shared" si="11"/>
        <v>Error</v>
      </c>
      <c r="Q224" s="49"/>
      <c r="R224" s="49"/>
      <c r="S224" s="49"/>
      <c r="T224" s="49"/>
    </row>
    <row r="225" spans="1:20" x14ac:dyDescent="0.2">
      <c r="A225" s="21"/>
      <c r="B225" s="45" t="s">
        <v>131</v>
      </c>
      <c r="C225" s="40">
        <v>2016</v>
      </c>
      <c r="D225" s="40">
        <f>IF(H224&gt;=$E463,G224,G224-1)</f>
        <v>366</v>
      </c>
      <c r="E225" s="37">
        <f>IF(H224-$E463&gt;0,H224-$E463,H224-$E463+$E469)</f>
        <v>0.10416666666666656</v>
      </c>
      <c r="F225" s="40">
        <v>2016</v>
      </c>
      <c r="G225" s="40">
        <v>366</v>
      </c>
      <c r="H225" s="37">
        <v>0.104861111111111</v>
      </c>
      <c r="I225" s="43">
        <v>606</v>
      </c>
      <c r="J225" s="43">
        <f>IF(I225=50,10,1)</f>
        <v>1</v>
      </c>
      <c r="K225" s="43"/>
      <c r="L225" s="438">
        <f>IF($I225&lt;192,0,IF($I225&gt;597,0, IF(VLOOKUP($I225,'CIRS Table Info'!$B$6:$J$425,3,FALSE)="Co-Add", 0.5,1) * (400 + IF(VLOOKUP($I225,'CIRS Table Info'!$B$6:$J$425,5,FALSE)="Data",1800,0) + IF(VLOOKUP($I225,'CIRS Table Info'!$B$6:$J$425,7,FALSE)="Data",1800,0) )))</f>
        <v>0</v>
      </c>
      <c r="M225" s="438">
        <f>VLOOKUP($B225,'CIRS Table IDs'!$B$6:$M$1001,12,FALSE)</f>
        <v>0</v>
      </c>
      <c r="N225" s="436" t="str">
        <f t="shared" si="11"/>
        <v/>
      </c>
      <c r="Q225" s="49"/>
      <c r="R225" s="49"/>
      <c r="S225" s="49"/>
      <c r="T225" s="49"/>
    </row>
    <row r="226" spans="1:20" x14ac:dyDescent="0.2">
      <c r="A226" s="21">
        <v>92</v>
      </c>
      <c r="B226" s="45" t="s">
        <v>508</v>
      </c>
      <c r="C226" s="36">
        <v>2016</v>
      </c>
      <c r="D226" s="36">
        <v>366</v>
      </c>
      <c r="E226" s="37">
        <v>0.104861111111111</v>
      </c>
      <c r="F226" s="36">
        <v>2016</v>
      </c>
      <c r="G226" s="36">
        <v>366</v>
      </c>
      <c r="H226" s="37">
        <v>0.313194444444444</v>
      </c>
      <c r="I226" s="43">
        <v>541</v>
      </c>
      <c r="J226" s="43">
        <v>1</v>
      </c>
      <c r="K226" s="43"/>
      <c r="L226" s="438">
        <f>IF($I226&lt;192,0,IF($I226&gt;597,0, IF(VLOOKUP($I226,'CIRS Table Info'!$B$6:$J$425,3,FALSE)="Co-Add", 0.5,1) * (400 + IF(VLOOKUP($I226,'CIRS Table Info'!$B$6:$J$425,5,FALSE)="Data",1800,0) + IF(VLOOKUP($I226,'CIRS Table Info'!$B$6:$J$425,7,FALSE)="Data",1800,0) )))</f>
        <v>4000</v>
      </c>
      <c r="M226" s="438">
        <f>VLOOKUP($B226,'CIRS Table IDs'!$B$6:$M$1001,12,FALSE)</f>
        <v>3600</v>
      </c>
      <c r="N226" s="436" t="str">
        <f t="shared" si="11"/>
        <v>Error</v>
      </c>
      <c r="Q226" s="49"/>
      <c r="R226" s="49"/>
      <c r="S226" s="49"/>
      <c r="T226" s="49"/>
    </row>
    <row r="227" spans="1:20" x14ac:dyDescent="0.2">
      <c r="A227" s="21"/>
      <c r="B227" s="45" t="s">
        <v>132</v>
      </c>
      <c r="C227" s="40">
        <v>2016</v>
      </c>
      <c r="D227" s="40">
        <f>IF(H226&gt;=$E463,G226,G226-1)</f>
        <v>366</v>
      </c>
      <c r="E227" s="37">
        <f>IF(H226-$E463&gt;0,H226-$E463,H226-$E463+$E469)</f>
        <v>0.31249999999999956</v>
      </c>
      <c r="F227" s="40">
        <v>2016</v>
      </c>
      <c r="G227" s="40">
        <v>366</v>
      </c>
      <c r="H227" s="37">
        <v>0.313194444444444</v>
      </c>
      <c r="I227" s="43">
        <v>606</v>
      </c>
      <c r="J227" s="43">
        <f>IF(I227=50,10,1)</f>
        <v>1</v>
      </c>
      <c r="K227" s="43"/>
      <c r="L227" s="438">
        <f>IF($I227&lt;192,0,IF($I227&gt;597,0, IF(VLOOKUP($I227,'CIRS Table Info'!$B$6:$J$425,3,FALSE)="Co-Add", 0.5,1) * (400 + IF(VLOOKUP($I227,'CIRS Table Info'!$B$6:$J$425,5,FALSE)="Data",1800,0) + IF(VLOOKUP($I227,'CIRS Table Info'!$B$6:$J$425,7,FALSE)="Data",1800,0) )))</f>
        <v>0</v>
      </c>
      <c r="M227" s="438">
        <f>VLOOKUP($B227,'CIRS Table IDs'!$B$6:$M$1001,12,FALSE)</f>
        <v>0</v>
      </c>
      <c r="N227" s="436" t="str">
        <f t="shared" si="11"/>
        <v/>
      </c>
      <c r="Q227" s="49"/>
      <c r="R227" s="49"/>
      <c r="S227" s="49"/>
      <c r="T227" s="49"/>
    </row>
    <row r="228" spans="1:20" x14ac:dyDescent="0.2">
      <c r="A228" s="21">
        <v>93</v>
      </c>
      <c r="B228" s="45" t="s">
        <v>509</v>
      </c>
      <c r="C228" s="36">
        <v>2016</v>
      </c>
      <c r="D228" s="36">
        <v>366</v>
      </c>
      <c r="E228" s="37">
        <v>0.313194444444444</v>
      </c>
      <c r="F228" s="36">
        <v>2016</v>
      </c>
      <c r="G228" s="36">
        <v>366</v>
      </c>
      <c r="H228" s="37">
        <v>0.52152777777777803</v>
      </c>
      <c r="I228" s="43">
        <v>541</v>
      </c>
      <c r="J228" s="43">
        <v>1</v>
      </c>
      <c r="K228" s="43"/>
      <c r="L228" s="438">
        <f>IF($I228&lt;192,0,IF($I228&gt;597,0, IF(VLOOKUP($I228,'CIRS Table Info'!$B$6:$J$425,3,FALSE)="Co-Add", 0.5,1) * (400 + IF(VLOOKUP($I228,'CIRS Table Info'!$B$6:$J$425,5,FALSE)="Data",1800,0) + IF(VLOOKUP($I228,'CIRS Table Info'!$B$6:$J$425,7,FALSE)="Data",1800,0) )))</f>
        <v>4000</v>
      </c>
      <c r="M228" s="438">
        <f>VLOOKUP($B228,'CIRS Table IDs'!$B$6:$M$1001,12,FALSE)</f>
        <v>3600</v>
      </c>
      <c r="N228" s="436" t="str">
        <f t="shared" si="11"/>
        <v>Error</v>
      </c>
      <c r="Q228" s="49"/>
      <c r="R228" s="49"/>
      <c r="S228" s="49"/>
      <c r="T228" s="49"/>
    </row>
    <row r="229" spans="1:20" x14ac:dyDescent="0.2">
      <c r="A229" s="21"/>
      <c r="B229" s="45" t="s">
        <v>133</v>
      </c>
      <c r="C229" s="40">
        <v>2016</v>
      </c>
      <c r="D229" s="40">
        <f>IF(H228&gt;=$E463,G228,G228-1)</f>
        <v>366</v>
      </c>
      <c r="E229" s="37">
        <f>IF(H228-$E463&gt;0,H228-$E463,H228-$E463+$E469)</f>
        <v>0.52083333333333359</v>
      </c>
      <c r="F229" s="40">
        <v>2016</v>
      </c>
      <c r="G229" s="40">
        <v>366</v>
      </c>
      <c r="H229" s="37">
        <v>0.52152777777777803</v>
      </c>
      <c r="I229" s="43">
        <v>606</v>
      </c>
      <c r="J229" s="43">
        <f>IF(I229=50,10,1)</f>
        <v>1</v>
      </c>
      <c r="K229" s="43"/>
      <c r="L229" s="438">
        <f>IF($I229&lt;192,0,IF($I229&gt;597,0, IF(VLOOKUP($I229,'CIRS Table Info'!$B$6:$J$425,3,FALSE)="Co-Add", 0.5,1) * (400 + IF(VLOOKUP($I229,'CIRS Table Info'!$B$6:$J$425,5,FALSE)="Data",1800,0) + IF(VLOOKUP($I229,'CIRS Table Info'!$B$6:$J$425,7,FALSE)="Data",1800,0) )))</f>
        <v>0</v>
      </c>
      <c r="M229" s="438">
        <f>VLOOKUP($B229,'CIRS Table IDs'!$B$6:$M$1001,12,FALSE)</f>
        <v>0</v>
      </c>
      <c r="N229" s="436" t="str">
        <f t="shared" si="11"/>
        <v/>
      </c>
      <c r="Q229" s="49"/>
      <c r="R229" s="49"/>
      <c r="S229" s="49"/>
      <c r="T229" s="49"/>
    </row>
    <row r="230" spans="1:20" x14ac:dyDescent="0.2">
      <c r="A230" s="21">
        <v>94</v>
      </c>
      <c r="B230" s="45" t="s">
        <v>510</v>
      </c>
      <c r="C230" s="36">
        <v>2016</v>
      </c>
      <c r="D230" s="36">
        <v>366</v>
      </c>
      <c r="E230" s="37">
        <v>0.52152777777777803</v>
      </c>
      <c r="F230" s="36">
        <v>2016</v>
      </c>
      <c r="G230" s="36">
        <v>366</v>
      </c>
      <c r="H230" s="37">
        <v>0.72986111111111096</v>
      </c>
      <c r="I230" s="43">
        <v>541</v>
      </c>
      <c r="J230" s="43">
        <v>1</v>
      </c>
      <c r="K230" s="43"/>
      <c r="L230" s="438">
        <f>IF($I230&lt;192,0,IF($I230&gt;597,0, IF(VLOOKUP($I230,'CIRS Table Info'!$B$6:$J$425,3,FALSE)="Co-Add", 0.5,1) * (400 + IF(VLOOKUP($I230,'CIRS Table Info'!$B$6:$J$425,5,FALSE)="Data",1800,0) + IF(VLOOKUP($I230,'CIRS Table Info'!$B$6:$J$425,7,FALSE)="Data",1800,0) )))</f>
        <v>4000</v>
      </c>
      <c r="M230" s="438">
        <f>VLOOKUP($B230,'CIRS Table IDs'!$B$6:$M$1001,12,FALSE)</f>
        <v>3600</v>
      </c>
      <c r="N230" s="436" t="str">
        <f t="shared" si="11"/>
        <v>Error</v>
      </c>
      <c r="Q230" s="49"/>
      <c r="R230" s="49"/>
      <c r="S230" s="49"/>
      <c r="T230" s="49"/>
    </row>
    <row r="231" spans="1:20" x14ac:dyDescent="0.2">
      <c r="A231" s="21"/>
      <c r="B231" s="45" t="s">
        <v>134</v>
      </c>
      <c r="C231" s="40">
        <v>2016</v>
      </c>
      <c r="D231" s="40">
        <f>IF(H230&gt;=$E463,G230,G230-1)</f>
        <v>366</v>
      </c>
      <c r="E231" s="37">
        <f>IF(H230-$E463&gt;0,H230-$E463,H230-$E463+$E469)</f>
        <v>0.72916666666666652</v>
      </c>
      <c r="F231" s="40">
        <v>2016</v>
      </c>
      <c r="G231" s="40">
        <v>366</v>
      </c>
      <c r="H231" s="37">
        <v>0.72986111111111096</v>
      </c>
      <c r="I231" s="43">
        <v>606</v>
      </c>
      <c r="J231" s="43">
        <f>IF(I231=50,10,1)</f>
        <v>1</v>
      </c>
      <c r="K231" s="43"/>
      <c r="L231" s="438">
        <f>IF($I231&lt;192,0,IF($I231&gt;597,0, IF(VLOOKUP($I231,'CIRS Table Info'!$B$6:$J$425,3,FALSE)="Co-Add", 0.5,1) * (400 + IF(VLOOKUP($I231,'CIRS Table Info'!$B$6:$J$425,5,FALSE)="Data",1800,0) + IF(VLOOKUP($I231,'CIRS Table Info'!$B$6:$J$425,7,FALSE)="Data",1800,0) )))</f>
        <v>0</v>
      </c>
      <c r="M231" s="438">
        <f>VLOOKUP($B231,'CIRS Table IDs'!$B$6:$M$1001,12,FALSE)</f>
        <v>0</v>
      </c>
      <c r="N231" s="436" t="str">
        <f t="shared" si="11"/>
        <v/>
      </c>
      <c r="Q231" s="49"/>
      <c r="R231" s="49"/>
      <c r="S231" s="49"/>
      <c r="T231" s="49"/>
    </row>
    <row r="232" spans="1:20" x14ac:dyDescent="0.2">
      <c r="A232" s="21">
        <v>95</v>
      </c>
      <c r="B232" s="45" t="s">
        <v>511</v>
      </c>
      <c r="C232" s="36">
        <v>2016</v>
      </c>
      <c r="D232" s="36">
        <v>366</v>
      </c>
      <c r="E232" s="37">
        <v>0.72986111111111096</v>
      </c>
      <c r="F232" s="36">
        <v>2016</v>
      </c>
      <c r="G232" s="36">
        <v>366</v>
      </c>
      <c r="H232" s="37">
        <v>0.938194444444444</v>
      </c>
      <c r="I232" s="43">
        <v>541</v>
      </c>
      <c r="J232" s="43">
        <v>1</v>
      </c>
      <c r="K232" s="43"/>
      <c r="L232" s="438">
        <f>IF($I232&lt;192,0,IF($I232&gt;597,0, IF(VLOOKUP($I232,'CIRS Table Info'!$B$6:$J$425,3,FALSE)="Co-Add", 0.5,1) * (400 + IF(VLOOKUP($I232,'CIRS Table Info'!$B$6:$J$425,5,FALSE)="Data",1800,0) + IF(VLOOKUP($I232,'CIRS Table Info'!$B$6:$J$425,7,FALSE)="Data",1800,0) )))</f>
        <v>4000</v>
      </c>
      <c r="M232" s="438">
        <f>VLOOKUP($B232,'CIRS Table IDs'!$B$6:$M$1001,12,FALSE)</f>
        <v>3600</v>
      </c>
      <c r="N232" s="436" t="str">
        <f t="shared" si="11"/>
        <v>Error</v>
      </c>
      <c r="Q232" s="49"/>
      <c r="R232" s="49"/>
      <c r="S232" s="49"/>
      <c r="T232" s="49"/>
    </row>
    <row r="233" spans="1:20" x14ac:dyDescent="0.2">
      <c r="A233" s="21"/>
      <c r="B233" s="45" t="s">
        <v>135</v>
      </c>
      <c r="C233" s="40">
        <v>2016</v>
      </c>
      <c r="D233" s="40">
        <f>IF(H232&gt;=$E463,G232,G232-1)</f>
        <v>366</v>
      </c>
      <c r="E233" s="37">
        <f>IF(H232-$E463&gt;0,H232-$E463,H232-$E463+$E469)</f>
        <v>0.93749999999999956</v>
      </c>
      <c r="F233" s="40">
        <v>2016</v>
      </c>
      <c r="G233" s="40">
        <v>366</v>
      </c>
      <c r="H233" s="37">
        <v>0.938194444444444</v>
      </c>
      <c r="I233" s="43">
        <v>606</v>
      </c>
      <c r="J233" s="43">
        <f>IF(I233=50,10,1)</f>
        <v>1</v>
      </c>
      <c r="K233" s="43"/>
      <c r="L233" s="438">
        <f>IF($I233&lt;192,0,IF($I233&gt;597,0, IF(VLOOKUP($I233,'CIRS Table Info'!$B$6:$J$425,3,FALSE)="Co-Add", 0.5,1) * (400 + IF(VLOOKUP($I233,'CIRS Table Info'!$B$6:$J$425,5,FALSE)="Data",1800,0) + IF(VLOOKUP($I233,'CIRS Table Info'!$B$6:$J$425,7,FALSE)="Data",1800,0) )))</f>
        <v>0</v>
      </c>
      <c r="M233" s="438">
        <f>VLOOKUP($B233,'CIRS Table IDs'!$B$6:$M$1001,12,FALSE)</f>
        <v>0</v>
      </c>
      <c r="N233" s="436" t="str">
        <f t="shared" si="11"/>
        <v/>
      </c>
      <c r="Q233" s="49"/>
      <c r="R233" s="49"/>
      <c r="S233" s="49"/>
      <c r="T233" s="49"/>
    </row>
    <row r="234" spans="1:20" x14ac:dyDescent="0.2">
      <c r="A234" s="21">
        <v>96</v>
      </c>
      <c r="B234" s="45" t="s">
        <v>512</v>
      </c>
      <c r="C234" s="36">
        <v>2016</v>
      </c>
      <c r="D234" s="36">
        <v>366</v>
      </c>
      <c r="E234" s="37">
        <v>0.938194444444444</v>
      </c>
      <c r="F234" s="36">
        <v>2016</v>
      </c>
      <c r="G234" s="36">
        <v>366</v>
      </c>
      <c r="H234" s="37">
        <v>0.97361111111111098</v>
      </c>
      <c r="I234" s="43">
        <v>541</v>
      </c>
      <c r="J234" s="43">
        <v>1</v>
      </c>
      <c r="K234" s="43"/>
      <c r="L234" s="438">
        <f>IF($I234&lt;192,0,IF($I234&gt;597,0, IF(VLOOKUP($I234,'CIRS Table Info'!$B$6:$J$425,3,FALSE)="Co-Add", 0.5,1) * (400 + IF(VLOOKUP($I234,'CIRS Table Info'!$B$6:$J$425,5,FALSE)="Data",1800,0) + IF(VLOOKUP($I234,'CIRS Table Info'!$B$6:$J$425,7,FALSE)="Data",1800,0) )))</f>
        <v>4000</v>
      </c>
      <c r="M234" s="438">
        <f>VLOOKUP($B234,'CIRS Table IDs'!$B$6:$M$1001,12,FALSE)</f>
        <v>3600</v>
      </c>
      <c r="N234" s="436" t="str">
        <f t="shared" si="11"/>
        <v>Error</v>
      </c>
      <c r="Q234" s="49"/>
      <c r="R234" s="49"/>
      <c r="S234" s="49"/>
      <c r="T234" s="49"/>
    </row>
    <row r="235" spans="1:20" x14ac:dyDescent="0.2">
      <c r="A235" s="21"/>
      <c r="B235" s="45" t="s">
        <v>136</v>
      </c>
      <c r="C235" s="40">
        <v>2016</v>
      </c>
      <c r="D235" s="40">
        <f>IF(H234&gt;=$E463,G234,G234-1)</f>
        <v>366</v>
      </c>
      <c r="E235" s="37">
        <f>IF(H234-$E463&gt;0,H234-$E463,H234-$E463+$E469)</f>
        <v>0.97291666666666654</v>
      </c>
      <c r="F235" s="40">
        <v>2017</v>
      </c>
      <c r="G235" s="40">
        <v>1</v>
      </c>
      <c r="H235" s="37">
        <v>0.105555555555556</v>
      </c>
      <c r="I235" s="43">
        <v>50</v>
      </c>
      <c r="J235" s="43">
        <f>IF(I235=50,10,1)</f>
        <v>10</v>
      </c>
      <c r="K235" s="43"/>
      <c r="L235" s="438">
        <f>IF($I235&lt;192,0,IF($I235&gt;597,0, IF(VLOOKUP($I235,'CIRS Table Info'!$B$6:$J$425,3,FALSE)="Co-Add", 0.5,1) * (400 + IF(VLOOKUP($I235,'CIRS Table Info'!$B$6:$J$425,5,FALSE)="Data",1800,0) + IF(VLOOKUP($I235,'CIRS Table Info'!$B$6:$J$425,7,FALSE)="Data",1800,0) )))</f>
        <v>0</v>
      </c>
      <c r="M235" s="438">
        <f>VLOOKUP($B235,'CIRS Table IDs'!$B$6:$M$1001,12,FALSE)</f>
        <v>0</v>
      </c>
      <c r="N235" s="436" t="str">
        <f t="shared" si="11"/>
        <v/>
      </c>
      <c r="Q235" s="49"/>
      <c r="R235" s="49"/>
      <c r="S235" s="49"/>
      <c r="T235" s="49"/>
    </row>
    <row r="236" spans="1:20" x14ac:dyDescent="0.2">
      <c r="A236" s="21">
        <v>97</v>
      </c>
      <c r="B236" s="45" t="s">
        <v>513</v>
      </c>
      <c r="C236" s="36">
        <v>2017</v>
      </c>
      <c r="D236" s="36">
        <v>1</v>
      </c>
      <c r="E236" s="37">
        <v>0.105555555555556</v>
      </c>
      <c r="F236" s="36">
        <v>2017</v>
      </c>
      <c r="G236" s="36">
        <v>1</v>
      </c>
      <c r="H236" s="37">
        <v>0.22847222222222199</v>
      </c>
      <c r="I236" s="43">
        <v>846</v>
      </c>
      <c r="J236" s="43">
        <f>IF(I236=50,10,1)</f>
        <v>1</v>
      </c>
      <c r="K236" s="43"/>
      <c r="L236" s="438">
        <f>IF($I236&lt;192,0,IF($I236&gt;597,0, IF(VLOOKUP($I236,'CIRS Table Info'!$B$6:$J$425,3,FALSE)="Co-Add", 0.5,1) * (400 + IF(VLOOKUP($I236,'CIRS Table Info'!$B$6:$J$425,5,FALSE)="Data",1800,0) + IF(VLOOKUP($I236,'CIRS Table Info'!$B$6:$J$425,7,FALSE)="Data",1800,0) )))</f>
        <v>0</v>
      </c>
      <c r="M236" s="438">
        <f>VLOOKUP($B236,'CIRS Table IDs'!$B$6:$M$1001,12,FALSE)</f>
        <v>3000</v>
      </c>
      <c r="N236" s="436" t="str">
        <f t="shared" si="11"/>
        <v/>
      </c>
      <c r="Q236" s="49"/>
      <c r="R236" s="49"/>
      <c r="S236" s="49"/>
      <c r="T236" s="49"/>
    </row>
    <row r="237" spans="1:20" x14ac:dyDescent="0.2">
      <c r="A237" s="21"/>
      <c r="B237" s="45" t="s">
        <v>137</v>
      </c>
      <c r="C237" s="40">
        <v>2017</v>
      </c>
      <c r="D237" s="40">
        <f>IF(H236&gt;=$E463,G236,G236-1)</f>
        <v>1</v>
      </c>
      <c r="E237" s="37">
        <f>IF(H236-$E463&gt;0,H236-$E463,H236-$E463+$E469)</f>
        <v>0.22777777777777755</v>
      </c>
      <c r="F237" s="40">
        <v>2017</v>
      </c>
      <c r="G237" s="40">
        <v>1</v>
      </c>
      <c r="H237" s="37">
        <v>0.58750000000000002</v>
      </c>
      <c r="I237" s="43">
        <v>600</v>
      </c>
      <c r="J237" s="43">
        <f>IF(I237=50,10,1)</f>
        <v>1</v>
      </c>
      <c r="K237" s="43"/>
      <c r="L237" s="438">
        <f>IF($I237&lt;192,0,IF($I237&gt;597,0, IF(VLOOKUP($I237,'CIRS Table Info'!$B$6:$J$425,3,FALSE)="Co-Add", 0.5,1) * (400 + IF(VLOOKUP($I237,'CIRS Table Info'!$B$6:$J$425,5,FALSE)="Data",1800,0) + IF(VLOOKUP($I237,'CIRS Table Info'!$B$6:$J$425,7,FALSE)="Data",1800,0) )))</f>
        <v>0</v>
      </c>
      <c r="M237" s="438">
        <f>VLOOKUP($B237,'CIRS Table IDs'!$B$6:$M$1001,12,FALSE)</f>
        <v>0</v>
      </c>
      <c r="N237" s="436" t="str">
        <f t="shared" si="11"/>
        <v/>
      </c>
      <c r="Q237" s="49"/>
      <c r="R237" s="49"/>
      <c r="S237" s="49"/>
      <c r="T237" s="49"/>
    </row>
    <row r="238" spans="1:20" x14ac:dyDescent="0.2">
      <c r="A238" s="21">
        <v>98</v>
      </c>
      <c r="B238" s="45" t="s">
        <v>514</v>
      </c>
      <c r="C238" s="36">
        <v>2017</v>
      </c>
      <c r="D238" s="36">
        <v>1</v>
      </c>
      <c r="E238" s="37">
        <v>0.58750000000000002</v>
      </c>
      <c r="F238" s="36">
        <v>2017</v>
      </c>
      <c r="G238" s="36">
        <v>1</v>
      </c>
      <c r="H238" s="37">
        <v>0.75763888888888897</v>
      </c>
      <c r="I238" s="43">
        <v>550</v>
      </c>
      <c r="J238" s="43">
        <v>1</v>
      </c>
      <c r="K238" s="43"/>
      <c r="L238" s="438">
        <f>IF($I238&lt;192,0,IF($I238&gt;597,0, IF(VLOOKUP($I238,'CIRS Table Info'!$B$6:$J$425,3,FALSE)="Co-Add", 0.5,1) * (400 + IF(VLOOKUP($I238,'CIRS Table Info'!$B$6:$J$425,5,FALSE)="Data",1800,0) + IF(VLOOKUP($I238,'CIRS Table Info'!$B$6:$J$425,7,FALSE)="Data",1800,0) )))</f>
        <v>2200</v>
      </c>
      <c r="M238" s="438">
        <f>VLOOKUP($B238,'CIRS Table IDs'!$B$6:$M$1001,12,FALSE)</f>
        <v>2200</v>
      </c>
      <c r="N238" s="436" t="str">
        <f t="shared" si="11"/>
        <v/>
      </c>
      <c r="Q238" s="49"/>
      <c r="R238" s="49"/>
      <c r="S238" s="49"/>
      <c r="T238" s="49"/>
    </row>
    <row r="239" spans="1:20" x14ac:dyDescent="0.2">
      <c r="A239" s="21"/>
      <c r="B239" s="45" t="s">
        <v>138</v>
      </c>
      <c r="C239" s="40">
        <v>2017</v>
      </c>
      <c r="D239" s="40">
        <f>IF(H238&gt;=$E463,G238,G238-1)</f>
        <v>1</v>
      </c>
      <c r="E239" s="37">
        <f>IF(H238-$E463&gt;0,H238-$E463,H238-$E463+$E469)</f>
        <v>0.75694444444444453</v>
      </c>
      <c r="F239" s="40">
        <v>2017</v>
      </c>
      <c r="G239" s="40">
        <v>1</v>
      </c>
      <c r="H239" s="37">
        <v>0.75763888888888897</v>
      </c>
      <c r="I239" s="43">
        <v>600</v>
      </c>
      <c r="J239" s="43">
        <f>IF(I239=50,10,1)</f>
        <v>1</v>
      </c>
      <c r="K239" s="43"/>
      <c r="L239" s="438">
        <f>IF($I239&lt;192,0,IF($I239&gt;597,0, IF(VLOOKUP($I239,'CIRS Table Info'!$B$6:$J$425,3,FALSE)="Co-Add", 0.5,1) * (400 + IF(VLOOKUP($I239,'CIRS Table Info'!$B$6:$J$425,5,FALSE)="Data",1800,0) + IF(VLOOKUP($I239,'CIRS Table Info'!$B$6:$J$425,7,FALSE)="Data",1800,0) )))</f>
        <v>0</v>
      </c>
      <c r="M239" s="438">
        <f>VLOOKUP($B239,'CIRS Table IDs'!$B$6:$M$1001,12,FALSE)</f>
        <v>0</v>
      </c>
      <c r="N239" s="436" t="str">
        <f t="shared" si="11"/>
        <v/>
      </c>
      <c r="Q239" s="49"/>
      <c r="R239" s="49"/>
      <c r="S239" s="49"/>
      <c r="T239" s="49"/>
    </row>
    <row r="240" spans="1:20" x14ac:dyDescent="0.2">
      <c r="A240" s="21">
        <v>99</v>
      </c>
      <c r="B240" s="45" t="s">
        <v>515</v>
      </c>
      <c r="C240" s="36">
        <v>2017</v>
      </c>
      <c r="D240" s="36">
        <v>1</v>
      </c>
      <c r="E240" s="37">
        <v>0.75763888888888897</v>
      </c>
      <c r="F240" s="36">
        <v>2017</v>
      </c>
      <c r="G240" s="36">
        <v>1</v>
      </c>
      <c r="H240" s="37">
        <v>0.89930555555555503</v>
      </c>
      <c r="I240" s="43">
        <v>500</v>
      </c>
      <c r="J240" s="43">
        <v>1</v>
      </c>
      <c r="K240" s="43"/>
      <c r="L240" s="438">
        <f>IF($I240&lt;192,0,IF($I240&gt;597,0, IF(VLOOKUP($I240,'CIRS Table Info'!$B$6:$J$425,3,FALSE)="Co-Add", 0.5,1) * (400 + IF(VLOOKUP($I240,'CIRS Table Info'!$B$6:$J$425,5,FALSE)="Data",1800,0) + IF(VLOOKUP($I240,'CIRS Table Info'!$B$6:$J$425,7,FALSE)="Data",1800,0) )))</f>
        <v>2200</v>
      </c>
      <c r="M240" s="438">
        <f>VLOOKUP($B240,'CIRS Table IDs'!$B$6:$M$1001,12,FALSE)</f>
        <v>2200</v>
      </c>
      <c r="N240" s="436" t="str">
        <f t="shared" si="11"/>
        <v/>
      </c>
      <c r="Q240" s="49"/>
      <c r="R240" s="49"/>
      <c r="S240" s="49"/>
      <c r="T240" s="49"/>
    </row>
    <row r="241" spans="1:20" x14ac:dyDescent="0.2">
      <c r="A241" s="21"/>
      <c r="B241" s="45" t="s">
        <v>139</v>
      </c>
      <c r="C241" s="40">
        <v>2017</v>
      </c>
      <c r="D241" s="40">
        <f>IF(H240&gt;=$E463,G240,G240-1)</f>
        <v>1</v>
      </c>
      <c r="E241" s="37">
        <f>IF(H240-$E463&gt;0,H240-$E463,H240-$E463+$E469)</f>
        <v>0.89861111111111058</v>
      </c>
      <c r="F241" s="40">
        <v>2017</v>
      </c>
      <c r="G241" s="40">
        <v>1</v>
      </c>
      <c r="H241" s="37">
        <v>0.89930555555555503</v>
      </c>
      <c r="I241" s="43">
        <v>600</v>
      </c>
      <c r="J241" s="43">
        <f>IF(I241=50,10,1)</f>
        <v>1</v>
      </c>
      <c r="K241" s="43"/>
      <c r="L241" s="438">
        <f>IF($I241&lt;192,0,IF($I241&gt;597,0, IF(VLOOKUP($I241,'CIRS Table Info'!$B$6:$J$425,3,FALSE)="Co-Add", 0.5,1) * (400 + IF(VLOOKUP($I241,'CIRS Table Info'!$B$6:$J$425,5,FALSE)="Data",1800,0) + IF(VLOOKUP($I241,'CIRS Table Info'!$B$6:$J$425,7,FALSE)="Data",1800,0) )))</f>
        <v>0</v>
      </c>
      <c r="M241" s="438">
        <f>VLOOKUP($B241,'CIRS Table IDs'!$B$6:$M$1001,12,FALSE)</f>
        <v>0</v>
      </c>
      <c r="N241" s="436" t="str">
        <f t="shared" si="11"/>
        <v/>
      </c>
      <c r="Q241" s="49"/>
      <c r="R241" s="49"/>
      <c r="S241" s="49"/>
      <c r="T241" s="49"/>
    </row>
    <row r="242" spans="1:20" x14ac:dyDescent="0.2">
      <c r="A242" s="21">
        <v>100</v>
      </c>
      <c r="B242" s="45" t="s">
        <v>516</v>
      </c>
      <c r="C242" s="36">
        <v>2017</v>
      </c>
      <c r="D242" s="36">
        <v>1</v>
      </c>
      <c r="E242" s="37">
        <v>0.89930555555555503</v>
      </c>
      <c r="F242" s="36">
        <f>IF($G242&gt;=$D242,$C242,$C242+1)</f>
        <v>2017</v>
      </c>
      <c r="G242" s="36">
        <f>IF(MOD($C$5,4)&lt;&gt;0,IF($D242+IF($H242&gt;=$E242,0,IF($H242+$E469&gt;=$E242,1,2))&gt;365,1,$D242+IF($H242&gt;=$E242,0,IF($H242+$E469&gt;=$E242,1,2))),IF($D242+IF($H242&gt;=$E242,0,IF($H242+$E469&gt;=$E242,1,2))&gt;366,1,$D242+IF($H242&gt;=$E242,0,IF($H242+$E469&gt;=$E242,1,2))))</f>
        <v>1</v>
      </c>
      <c r="H242" s="37">
        <f>IF(E242 + TIMEVALUE("00:02:10")&gt;=1,E242 + TIMEVALUE("00:02:10")-1,E242 + TIMEVALUE("00:02:10"))</f>
        <v>0.90081018518518463</v>
      </c>
      <c r="I242" s="496">
        <v>203</v>
      </c>
      <c r="J242" s="43">
        <v>1</v>
      </c>
      <c r="K242" s="43"/>
      <c r="L242" s="438">
        <f>IF($I242&lt;192,0,IF($I242&gt;597,0, IF(VLOOKUP($I242,'CIRS Table Info'!$B$6:$J$425,3,FALSE)="Co-Add", 0.5,1) * (400 + IF(VLOOKUP($I242,'CIRS Table Info'!$B$6:$J$425,5,FALSE)="Data",1800,0) + IF(VLOOKUP($I242,'CIRS Table Info'!$B$6:$J$425,7,FALSE)="Data",1800,0) )))</f>
        <v>2200</v>
      </c>
      <c r="M242" s="438">
        <f>VLOOKUP($B242,'CIRS Table IDs'!$B$6:$M$1001,12,FALSE)</f>
        <v>2200</v>
      </c>
      <c r="N242" s="436" t="str">
        <f t="shared" ref="N242:N315" si="13">IF(L242=M242,"",IF(RIGHT(B242,3)="_SP","",IF(I242&lt;700,"Error","Warning")))</f>
        <v/>
      </c>
      <c r="Q242" s="49"/>
      <c r="R242" s="49"/>
      <c r="S242" s="49"/>
      <c r="T242" s="49"/>
    </row>
    <row r="243" spans="1:20" x14ac:dyDescent="0.2">
      <c r="A243" s="21"/>
      <c r="B243" s="45" t="s">
        <v>516</v>
      </c>
      <c r="C243" s="36">
        <f>$F242</f>
        <v>2017</v>
      </c>
      <c r="D243" s="36">
        <f>$G242</f>
        <v>1</v>
      </c>
      <c r="E243" s="37">
        <f>IF(E242 + TIMEVALUE("00:02:10")&gt;=1,E242 + TIMEVALUE("00:02:10")-1,E242 + TIMEVALUE("00:02:10"))</f>
        <v>0.90081018518518463</v>
      </c>
      <c r="F243" s="36">
        <f>IF($G243&gt;=$D243,$C243,$C243+1)</f>
        <v>2017</v>
      </c>
      <c r="G243" s="36">
        <f>IF(0.0604166666666667 - TIMEVALUE("00:03:10")&gt;=0, 2, 1)</f>
        <v>2</v>
      </c>
      <c r="H243" s="37">
        <f>IF(0.0604166666666667 - TIMEVALUE("00:03:10")&gt;=0, 0.0604166666666667 - TIMEVALUE("00:03:10"), 0.0604166666666667 - TIMEVALUE("00:03:10") +$E469)</f>
        <v>5.8217592592592626E-2</v>
      </c>
      <c r="I243" s="496">
        <v>200</v>
      </c>
      <c r="J243" s="43">
        <v>1</v>
      </c>
      <c r="K243" s="43"/>
      <c r="L243" s="438">
        <f>IF($I243&lt;192,0,IF($I243&gt;597,0, IF(VLOOKUP($I243,'CIRS Table Info'!$B$6:$J$425,3,FALSE)="Co-Add", 0.5,1) * (400 + IF(VLOOKUP($I243,'CIRS Table Info'!$B$6:$J$425,5,FALSE)="Data",1800,0) + IF(VLOOKUP($I243,'CIRS Table Info'!$B$6:$J$425,7,FALSE)="Data",1800,0) )))</f>
        <v>2200</v>
      </c>
      <c r="M243" s="438">
        <f>VLOOKUP($B243,'CIRS Table IDs'!$B$6:$M$1001,12,FALSE)</f>
        <v>2200</v>
      </c>
      <c r="N243" s="436" t="str">
        <f t="shared" si="13"/>
        <v/>
      </c>
      <c r="Q243" s="49"/>
      <c r="R243" s="49"/>
      <c r="S243" s="49"/>
      <c r="T243" s="49"/>
    </row>
    <row r="244" spans="1:20" x14ac:dyDescent="0.2">
      <c r="A244" s="21"/>
      <c r="B244" s="45" t="s">
        <v>516</v>
      </c>
      <c r="C244" s="36">
        <f>$F243</f>
        <v>2017</v>
      </c>
      <c r="D244" s="36">
        <f>$G243</f>
        <v>2</v>
      </c>
      <c r="E244" s="37">
        <f>IF(0.0604166666666667 - TIMEVALUE("00:03:10")&gt;=0, 0.0604166666666667 - TIMEVALUE("00:03:10"), 0.0604166666666667 - TIMEVALUE("00:03:10") +$E469)</f>
        <v>5.8217592592592626E-2</v>
      </c>
      <c r="F244" s="36">
        <f>IF($G244&gt;=$D244,$C244,$C244+1)</f>
        <v>2017</v>
      </c>
      <c r="G244" s="36">
        <v>2</v>
      </c>
      <c r="H244" s="37">
        <v>6.0416666666666702E-2</v>
      </c>
      <c r="I244" s="496">
        <v>203</v>
      </c>
      <c r="J244" s="43">
        <v>1</v>
      </c>
      <c r="K244" s="43"/>
      <c r="L244" s="438">
        <f>IF($I244&lt;192,0,IF($I244&gt;597,0, IF(VLOOKUP($I244,'CIRS Table Info'!$B$6:$J$425,3,FALSE)="Co-Add", 0.5,1) * (400 + IF(VLOOKUP($I244,'CIRS Table Info'!$B$6:$J$425,5,FALSE)="Data",1800,0) + IF(VLOOKUP($I244,'CIRS Table Info'!$B$6:$J$425,7,FALSE)="Data",1800,0) )))</f>
        <v>2200</v>
      </c>
      <c r="M244" s="438">
        <f>VLOOKUP($B244,'CIRS Table IDs'!$B$6:$M$1001,12,FALSE)</f>
        <v>2200</v>
      </c>
      <c r="N244" s="436" t="str">
        <f t="shared" si="13"/>
        <v/>
      </c>
      <c r="Q244" s="49"/>
      <c r="R244" s="49"/>
      <c r="S244" s="49"/>
      <c r="T244" s="49"/>
    </row>
    <row r="245" spans="1:20" x14ac:dyDescent="0.2">
      <c r="A245" s="21"/>
      <c r="B245" s="45" t="s">
        <v>140</v>
      </c>
      <c r="C245" s="36">
        <v>2017</v>
      </c>
      <c r="D245" s="36">
        <f>IF(H244&gt;=$E463,G244,G244-1)</f>
        <v>2</v>
      </c>
      <c r="E245" s="37">
        <f>IF(H244-$E463&gt;0,H244-$E463,H244-$E463+$E469)</f>
        <v>5.972222222222226E-2</v>
      </c>
      <c r="F245" s="40">
        <v>2017</v>
      </c>
      <c r="G245" s="40">
        <v>2</v>
      </c>
      <c r="H245" s="37">
        <v>6.0416666666666702E-2</v>
      </c>
      <c r="I245" s="43">
        <v>600</v>
      </c>
      <c r="J245" s="43">
        <f>IF(I245=50,10,1)</f>
        <v>1</v>
      </c>
      <c r="K245" s="43"/>
      <c r="L245" s="438">
        <f>IF($I245&lt;192,0,IF($I245&gt;597,0, IF(VLOOKUP($I245,'CIRS Table Info'!$B$6:$J$425,3,FALSE)="Co-Add", 0.5,1) * (400 + IF(VLOOKUP($I245,'CIRS Table Info'!$B$6:$J$425,5,FALSE)="Data",1800,0) + IF(VLOOKUP($I245,'CIRS Table Info'!$B$6:$J$425,7,FALSE)="Data",1800,0) )))</f>
        <v>0</v>
      </c>
      <c r="M245" s="438">
        <f>VLOOKUP($B245,'CIRS Table IDs'!$B$6:$M$1001,12,FALSE)</f>
        <v>0</v>
      </c>
      <c r="N245" s="436" t="str">
        <f t="shared" si="13"/>
        <v/>
      </c>
      <c r="Q245" s="49"/>
      <c r="R245" s="49"/>
      <c r="S245" s="49"/>
      <c r="T245" s="49"/>
    </row>
    <row r="246" spans="1:20" x14ac:dyDescent="0.2">
      <c r="A246" s="21">
        <v>101</v>
      </c>
      <c r="B246" s="45" t="s">
        <v>519</v>
      </c>
      <c r="C246" s="36">
        <v>2017</v>
      </c>
      <c r="D246" s="36">
        <v>2</v>
      </c>
      <c r="E246" s="37">
        <v>6.0416666666666702E-2</v>
      </c>
      <c r="F246" s="36">
        <v>2017</v>
      </c>
      <c r="G246" s="36">
        <v>2</v>
      </c>
      <c r="H246" s="37">
        <v>0.18541666666666701</v>
      </c>
      <c r="I246" s="43">
        <v>453</v>
      </c>
      <c r="J246" s="43">
        <v>1</v>
      </c>
      <c r="K246" s="43"/>
      <c r="L246" s="438">
        <f>IF($I246&lt;192,0,IF($I246&gt;597,0, IF(VLOOKUP($I246,'CIRS Table Info'!$B$6:$J$425,3,FALSE)="Co-Add", 0.5,1) * (400 + IF(VLOOKUP($I246,'CIRS Table Info'!$B$6:$J$425,5,FALSE)="Data",1800,0) + IF(VLOOKUP($I246,'CIRS Table Info'!$B$6:$J$425,7,FALSE)="Data",1800,0) )))</f>
        <v>4000</v>
      </c>
      <c r="M246" s="438">
        <f>VLOOKUP($B246,'CIRS Table IDs'!$B$6:$M$1001,12,FALSE)</f>
        <v>4000</v>
      </c>
      <c r="N246" s="436" t="str">
        <f t="shared" si="13"/>
        <v/>
      </c>
      <c r="Q246" s="49"/>
      <c r="R246" s="49"/>
      <c r="S246" s="49"/>
      <c r="T246" s="49"/>
    </row>
    <row r="247" spans="1:20" x14ac:dyDescent="0.2">
      <c r="A247" s="21"/>
      <c r="B247" s="45" t="s">
        <v>141</v>
      </c>
      <c r="C247" s="40">
        <v>2017</v>
      </c>
      <c r="D247" s="40">
        <f>IF(H246&gt;=$E463,G246,G246-1)</f>
        <v>2</v>
      </c>
      <c r="E247" s="37">
        <f>IF(H246-$E463&gt;0,H246-$E463,H246-$E463+$E469)</f>
        <v>0.18472222222222257</v>
      </c>
      <c r="F247" s="40">
        <v>2017</v>
      </c>
      <c r="G247" s="40">
        <v>2</v>
      </c>
      <c r="H247" s="37">
        <v>0.41666666666666702</v>
      </c>
      <c r="I247" s="43">
        <v>600</v>
      </c>
      <c r="J247" s="43">
        <f>IF(I247=50,10,1)</f>
        <v>1</v>
      </c>
      <c r="K247" s="43"/>
      <c r="L247" s="438">
        <f>IF($I247&lt;192,0,IF($I247&gt;597,0, IF(VLOOKUP($I247,'CIRS Table Info'!$B$6:$J$425,3,FALSE)="Co-Add", 0.5,1) * (400 + IF(VLOOKUP($I247,'CIRS Table Info'!$B$6:$J$425,5,FALSE)="Data",1800,0) + IF(VLOOKUP($I247,'CIRS Table Info'!$B$6:$J$425,7,FALSE)="Data",1800,0) )))</f>
        <v>0</v>
      </c>
      <c r="M247" s="438">
        <f>VLOOKUP($B247,'CIRS Table IDs'!$B$6:$M$1001,12,FALSE)</f>
        <v>0</v>
      </c>
      <c r="N247" s="436" t="str">
        <f t="shared" si="13"/>
        <v/>
      </c>
      <c r="Q247" s="49"/>
      <c r="R247" s="49"/>
      <c r="S247" s="49"/>
      <c r="T247" s="49"/>
    </row>
    <row r="248" spans="1:20" x14ac:dyDescent="0.2">
      <c r="A248" s="21">
        <v>102</v>
      </c>
      <c r="B248" s="45" t="s">
        <v>520</v>
      </c>
      <c r="C248" s="36">
        <v>2017</v>
      </c>
      <c r="D248" s="36">
        <v>2</v>
      </c>
      <c r="E248" s="37">
        <v>0.41666666666666702</v>
      </c>
      <c r="F248" s="36">
        <v>2017</v>
      </c>
      <c r="G248" s="36">
        <v>2</v>
      </c>
      <c r="H248" s="37">
        <v>0.52083333333333304</v>
      </c>
      <c r="I248" s="43">
        <v>851</v>
      </c>
      <c r="J248" s="43">
        <f>IF(I248=50,10,1)</f>
        <v>1</v>
      </c>
      <c r="K248" s="43"/>
      <c r="L248" s="438">
        <f>IF($I248&lt;192,0,IF($I248&gt;597,0, IF(VLOOKUP($I248,'CIRS Table Info'!$B$6:$J$425,3,FALSE)="Co-Add", 0.5,1) * (400 + IF(VLOOKUP($I248,'CIRS Table Info'!$B$6:$J$425,5,FALSE)="Data",1800,0) + IF(VLOOKUP($I248,'CIRS Table Info'!$B$6:$J$425,7,FALSE)="Data",1800,0) )))</f>
        <v>0</v>
      </c>
      <c r="M248" s="438">
        <f>VLOOKUP($B248,'CIRS Table IDs'!$B$6:$M$1001,12,FALSE)</f>
        <v>4000</v>
      </c>
      <c r="N248" s="436" t="str">
        <f t="shared" si="13"/>
        <v>Warning</v>
      </c>
      <c r="Q248" s="49"/>
      <c r="R248" s="49"/>
      <c r="S248" s="49"/>
      <c r="T248" s="49"/>
    </row>
    <row r="249" spans="1:20" x14ac:dyDescent="0.2">
      <c r="A249" s="21"/>
      <c r="B249" s="45" t="s">
        <v>142</v>
      </c>
      <c r="C249" s="40">
        <v>2017</v>
      </c>
      <c r="D249" s="40">
        <f>IF(H248&gt;=$E463,G248,G248-1)</f>
        <v>2</v>
      </c>
      <c r="E249" s="37">
        <f>IF(H248-$E463&gt;0,H248-$E463,H248-$E463+$E469)</f>
        <v>0.5201388888888886</v>
      </c>
      <c r="F249" s="40">
        <v>2017</v>
      </c>
      <c r="G249" s="40">
        <v>2</v>
      </c>
      <c r="H249" s="37">
        <v>0.52777777777777801</v>
      </c>
      <c r="I249" s="43">
        <v>600</v>
      </c>
      <c r="J249" s="43">
        <f>IF(I249=50,10,1)</f>
        <v>1</v>
      </c>
      <c r="K249" s="43"/>
      <c r="L249" s="438">
        <f>IF($I249&lt;192,0,IF($I249&gt;597,0, IF(VLOOKUP($I249,'CIRS Table Info'!$B$6:$J$425,3,FALSE)="Co-Add", 0.5,1) * (400 + IF(VLOOKUP($I249,'CIRS Table Info'!$B$6:$J$425,5,FALSE)="Data",1800,0) + IF(VLOOKUP($I249,'CIRS Table Info'!$B$6:$J$425,7,FALSE)="Data",1800,0) )))</f>
        <v>0</v>
      </c>
      <c r="M249" s="438">
        <f>VLOOKUP($B249,'CIRS Table IDs'!$B$6:$M$1001,12,FALSE)</f>
        <v>0</v>
      </c>
      <c r="N249" s="436" t="str">
        <f t="shared" si="13"/>
        <v/>
      </c>
      <c r="Q249" s="49"/>
      <c r="R249" s="49"/>
      <c r="S249" s="49"/>
      <c r="T249" s="49"/>
    </row>
    <row r="250" spans="1:20" x14ac:dyDescent="0.2">
      <c r="A250" s="21">
        <v>103</v>
      </c>
      <c r="B250" s="45" t="s">
        <v>523</v>
      </c>
      <c r="C250" s="36">
        <v>2017</v>
      </c>
      <c r="D250" s="36">
        <v>2</v>
      </c>
      <c r="E250" s="37">
        <v>0.52777777777777801</v>
      </c>
      <c r="F250" s="36">
        <v>2017</v>
      </c>
      <c r="G250" s="36">
        <v>2</v>
      </c>
      <c r="H250" s="37">
        <v>0.61111111111111105</v>
      </c>
      <c r="I250" s="43">
        <v>192</v>
      </c>
      <c r="J250" s="43">
        <v>1</v>
      </c>
      <c r="K250" s="43"/>
      <c r="L250" s="438">
        <f>IF($I250&lt;192,0,IF($I250&gt;597,0, IF(VLOOKUP($I250,'CIRS Table Info'!$B$6:$J$425,3,FALSE)="Co-Add", 0.5,1) * (400 + IF(VLOOKUP($I250,'CIRS Table Info'!$B$6:$J$425,5,FALSE)="Data",1800,0) + IF(VLOOKUP($I250,'CIRS Table Info'!$B$6:$J$425,7,FALSE)="Data",1800,0) )))</f>
        <v>400</v>
      </c>
      <c r="M250" s="438">
        <f>VLOOKUP($B250,'CIRS Table IDs'!$B$6:$M$1001,12,FALSE)</f>
        <v>400</v>
      </c>
      <c r="N250" s="436" t="str">
        <f t="shared" si="13"/>
        <v/>
      </c>
      <c r="Q250" s="49"/>
      <c r="R250" s="49"/>
      <c r="S250" s="49"/>
      <c r="T250" s="49"/>
    </row>
    <row r="251" spans="1:20" x14ac:dyDescent="0.2">
      <c r="A251" s="21"/>
      <c r="B251" s="45" t="s">
        <v>143</v>
      </c>
      <c r="C251" s="40">
        <v>2017</v>
      </c>
      <c r="D251" s="40">
        <f>IF(H250&gt;=$E463,G250,G250-1)</f>
        <v>2</v>
      </c>
      <c r="E251" s="37">
        <f>IF(H250-$E463&gt;0,H250-$E463,H250-$E463+$E469)</f>
        <v>0.61041666666666661</v>
      </c>
      <c r="F251" s="40">
        <v>2017</v>
      </c>
      <c r="G251" s="40">
        <v>2</v>
      </c>
      <c r="H251" s="37">
        <v>0.61111111111111105</v>
      </c>
      <c r="I251" s="43">
        <v>600</v>
      </c>
      <c r="J251" s="43">
        <f>IF(I251=50,10,1)</f>
        <v>1</v>
      </c>
      <c r="K251" s="43"/>
      <c r="L251" s="438">
        <f>IF($I251&lt;192,0,IF($I251&gt;597,0, IF(VLOOKUP($I251,'CIRS Table Info'!$B$6:$J$425,3,FALSE)="Co-Add", 0.5,1) * (400 + IF(VLOOKUP($I251,'CIRS Table Info'!$B$6:$J$425,5,FALSE)="Data",1800,0) + IF(VLOOKUP($I251,'CIRS Table Info'!$B$6:$J$425,7,FALSE)="Data",1800,0) )))</f>
        <v>0</v>
      </c>
      <c r="M251" s="438">
        <f>VLOOKUP($B251,'CIRS Table IDs'!$B$6:$M$1001,12,FALSE)</f>
        <v>0</v>
      </c>
      <c r="N251" s="436" t="str">
        <f t="shared" si="13"/>
        <v/>
      </c>
      <c r="Q251" s="49"/>
      <c r="R251" s="49"/>
      <c r="S251" s="49"/>
      <c r="T251" s="49"/>
    </row>
    <row r="252" spans="1:20" x14ac:dyDescent="0.2">
      <c r="A252" s="21">
        <v>104</v>
      </c>
      <c r="B252" s="45" t="s">
        <v>524</v>
      </c>
      <c r="C252" s="36">
        <v>2017</v>
      </c>
      <c r="D252" s="36">
        <v>2</v>
      </c>
      <c r="E252" s="37">
        <v>0.61111111111111105</v>
      </c>
      <c r="F252" s="36">
        <v>2017</v>
      </c>
      <c r="G252" s="36">
        <v>2</v>
      </c>
      <c r="H252" s="37">
        <v>0.73611111111111105</v>
      </c>
      <c r="I252" s="43">
        <v>450</v>
      </c>
      <c r="J252" s="43">
        <v>1</v>
      </c>
      <c r="K252" s="43"/>
      <c r="L252" s="438">
        <f>IF($I252&lt;192,0,IF($I252&gt;597,0, IF(VLOOKUP($I252,'CIRS Table Info'!$B$6:$J$425,3,FALSE)="Co-Add", 0.5,1) * (400 + IF(VLOOKUP($I252,'CIRS Table Info'!$B$6:$J$425,5,FALSE)="Data",1800,0) + IF(VLOOKUP($I252,'CIRS Table Info'!$B$6:$J$425,7,FALSE)="Data",1800,0) )))</f>
        <v>2200</v>
      </c>
      <c r="M252" s="438">
        <f>VLOOKUP($B252,'CIRS Table IDs'!$B$6:$M$1001,12,FALSE)</f>
        <v>2200</v>
      </c>
      <c r="N252" s="436" t="str">
        <f t="shared" si="13"/>
        <v/>
      </c>
      <c r="Q252" s="49"/>
      <c r="R252" s="49"/>
      <c r="S252" s="49"/>
      <c r="T252" s="49"/>
    </row>
    <row r="253" spans="1:20" x14ac:dyDescent="0.2">
      <c r="A253" s="21"/>
      <c r="B253" s="45" t="s">
        <v>144</v>
      </c>
      <c r="C253" s="40">
        <v>2017</v>
      </c>
      <c r="D253" s="40">
        <f>IF(H252&gt;=$E463,G252,G252-1)</f>
        <v>2</v>
      </c>
      <c r="E253" s="37">
        <f>IF(H252-$E463&gt;0,H252-$E463,H252-$E463+$E469)</f>
        <v>0.73541666666666661</v>
      </c>
      <c r="F253" s="40">
        <v>2017</v>
      </c>
      <c r="G253" s="40">
        <v>2</v>
      </c>
      <c r="H253" s="37">
        <v>0.73611111111111105</v>
      </c>
      <c r="I253" s="43">
        <v>600</v>
      </c>
      <c r="J253" s="43">
        <f>IF(I253=50,10,1)</f>
        <v>1</v>
      </c>
      <c r="K253" s="43"/>
      <c r="L253" s="438">
        <f>IF($I253&lt;192,0,IF($I253&gt;597,0, IF(VLOOKUP($I253,'CIRS Table Info'!$B$6:$J$425,3,FALSE)="Co-Add", 0.5,1) * (400 + IF(VLOOKUP($I253,'CIRS Table Info'!$B$6:$J$425,5,FALSE)="Data",1800,0) + IF(VLOOKUP($I253,'CIRS Table Info'!$B$6:$J$425,7,FALSE)="Data",1800,0) )))</f>
        <v>0</v>
      </c>
      <c r="M253" s="438">
        <f>VLOOKUP($B253,'CIRS Table IDs'!$B$6:$M$1001,12,FALSE)</f>
        <v>0</v>
      </c>
      <c r="N253" s="436" t="str">
        <f t="shared" si="13"/>
        <v/>
      </c>
      <c r="Q253" s="49"/>
      <c r="R253" s="49"/>
      <c r="S253" s="49"/>
      <c r="T253" s="49"/>
    </row>
    <row r="254" spans="1:20" x14ac:dyDescent="0.2">
      <c r="A254" s="21">
        <v>105</v>
      </c>
      <c r="B254" s="45" t="s">
        <v>525</v>
      </c>
      <c r="C254" s="36">
        <v>2017</v>
      </c>
      <c r="D254" s="36">
        <v>2</v>
      </c>
      <c r="E254" s="37">
        <v>0.73611111111111105</v>
      </c>
      <c r="F254" s="36">
        <f>IF($G254&gt;=$D254,$C254,$C254+1)</f>
        <v>2017</v>
      </c>
      <c r="G254" s="36">
        <f>IF(MOD($C$5,4)&lt;&gt;0,IF($D254+IF($H254&gt;=$E254,0,IF($H254+$E469&gt;=$E254,1,2))&gt;365,1,$D254+IF($H254&gt;=$E254,0,IF($H254+$E469&gt;=$E254,1,2))),IF($D254+IF($H254&gt;=$E254,0,IF($H254+$E469&gt;=$E254,1,2))&gt;366,1,$D254+IF($H254&gt;=$E254,0,IF($H254+$E469&gt;=$E254,1,2))))</f>
        <v>2</v>
      </c>
      <c r="H254" s="37">
        <f>IF(E254 + TIMEVALUE("00:02:10")&gt;=1,E254 + TIMEVALUE("00:02:10")-1,E254 + TIMEVALUE("00:02:10"))</f>
        <v>0.73761574074074066</v>
      </c>
      <c r="I254" s="496">
        <v>203</v>
      </c>
      <c r="J254" s="43">
        <v>1</v>
      </c>
      <c r="K254" s="43"/>
      <c r="L254" s="438">
        <f>IF($I254&lt;192,0,IF($I254&gt;597,0, IF(VLOOKUP($I254,'CIRS Table Info'!$B$6:$J$425,3,FALSE)="Co-Add", 0.5,1) * (400 + IF(VLOOKUP($I254,'CIRS Table Info'!$B$6:$J$425,5,FALSE)="Data",1800,0) + IF(VLOOKUP($I254,'CIRS Table Info'!$B$6:$J$425,7,FALSE)="Data",1800,0) )))</f>
        <v>2200</v>
      </c>
      <c r="M254" s="438">
        <f>VLOOKUP($B254,'CIRS Table IDs'!$B$6:$M$1001,12,FALSE)</f>
        <v>2200</v>
      </c>
      <c r="N254" s="436" t="str">
        <f t="shared" si="13"/>
        <v/>
      </c>
      <c r="Q254" s="49"/>
      <c r="R254" s="49"/>
      <c r="S254" s="49"/>
      <c r="T254" s="49"/>
    </row>
    <row r="255" spans="1:20" x14ac:dyDescent="0.2">
      <c r="A255" s="21"/>
      <c r="B255" s="45" t="s">
        <v>525</v>
      </c>
      <c r="C255" s="36">
        <f>$F254</f>
        <v>2017</v>
      </c>
      <c r="D255" s="36">
        <f>$G254</f>
        <v>2</v>
      </c>
      <c r="E255" s="37">
        <f>IF(E254 + TIMEVALUE("00:02:10")&gt;=1,E254 + TIMEVALUE("00:02:10")-1,E254 + TIMEVALUE("00:02:10"))</f>
        <v>0.73761574074074066</v>
      </c>
      <c r="F255" s="36">
        <f>IF($G255&gt;=$D255,$C255,$C255+1)</f>
        <v>2017</v>
      </c>
      <c r="G255" s="36">
        <f>IF(0.944444444444445 - TIMEVALUE("00:03:10")&gt;=0, 2, 1)</f>
        <v>2</v>
      </c>
      <c r="H255" s="37">
        <f>IF(0.944444444444445 - TIMEVALUE("00:03:10")&gt;=0, 0.944444444444445 - TIMEVALUE("00:03:10"), 0.944444444444445 - TIMEVALUE("00:03:10") +$E469)</f>
        <v>0.94224537037037093</v>
      </c>
      <c r="I255" s="496">
        <v>200</v>
      </c>
      <c r="J255" s="43">
        <v>1</v>
      </c>
      <c r="K255" s="43"/>
      <c r="L255" s="438">
        <f>IF($I255&lt;192,0,IF($I255&gt;597,0, IF(VLOOKUP($I255,'CIRS Table Info'!$B$6:$J$425,3,FALSE)="Co-Add", 0.5,1) * (400 + IF(VLOOKUP($I255,'CIRS Table Info'!$B$6:$J$425,5,FALSE)="Data",1800,0) + IF(VLOOKUP($I255,'CIRS Table Info'!$B$6:$J$425,7,FALSE)="Data",1800,0) )))</f>
        <v>2200</v>
      </c>
      <c r="M255" s="438">
        <f>VLOOKUP($B255,'CIRS Table IDs'!$B$6:$M$1001,12,FALSE)</f>
        <v>2200</v>
      </c>
      <c r="N255" s="436" t="str">
        <f t="shared" si="13"/>
        <v/>
      </c>
      <c r="Q255" s="49"/>
      <c r="R255" s="49"/>
      <c r="S255" s="49"/>
      <c r="T255" s="49"/>
    </row>
    <row r="256" spans="1:20" x14ac:dyDescent="0.2">
      <c r="A256" s="21"/>
      <c r="B256" s="45" t="s">
        <v>525</v>
      </c>
      <c r="C256" s="36">
        <f>$F255</f>
        <v>2017</v>
      </c>
      <c r="D256" s="36">
        <f>$G255</f>
        <v>2</v>
      </c>
      <c r="E256" s="37">
        <f>IF(0.944444444444445 - TIMEVALUE("00:03:10")&gt;=0, 0.944444444444445 - TIMEVALUE("00:03:10"), 0.944444444444445 - TIMEVALUE("00:03:10") +$E469)</f>
        <v>0.94224537037037093</v>
      </c>
      <c r="F256" s="36">
        <f>IF($G256&gt;=$D256,$C256,$C256+1)</f>
        <v>2017</v>
      </c>
      <c r="G256" s="36">
        <v>2</v>
      </c>
      <c r="H256" s="37">
        <v>0.94444444444444497</v>
      </c>
      <c r="I256" s="496">
        <v>203</v>
      </c>
      <c r="J256" s="43">
        <v>1</v>
      </c>
      <c r="K256" s="43"/>
      <c r="L256" s="438">
        <f>IF($I256&lt;192,0,IF($I256&gt;597,0, IF(VLOOKUP($I256,'CIRS Table Info'!$B$6:$J$425,3,FALSE)="Co-Add", 0.5,1) * (400 + IF(VLOOKUP($I256,'CIRS Table Info'!$B$6:$J$425,5,FALSE)="Data",1800,0) + IF(VLOOKUP($I256,'CIRS Table Info'!$B$6:$J$425,7,FALSE)="Data",1800,0) )))</f>
        <v>2200</v>
      </c>
      <c r="M256" s="438">
        <f>VLOOKUP($B256,'CIRS Table IDs'!$B$6:$M$1001,12,FALSE)</f>
        <v>2200</v>
      </c>
      <c r="N256" s="436" t="str">
        <f t="shared" si="13"/>
        <v/>
      </c>
      <c r="Q256" s="49"/>
      <c r="R256" s="49"/>
      <c r="S256" s="49"/>
      <c r="T256" s="49"/>
    </row>
    <row r="257" spans="1:20" x14ac:dyDescent="0.2">
      <c r="A257" s="21"/>
      <c r="B257" s="45" t="s">
        <v>145</v>
      </c>
      <c r="C257" s="36">
        <v>2017</v>
      </c>
      <c r="D257" s="36">
        <f>IF(H256&gt;=$E463,G256,G256-1)</f>
        <v>2</v>
      </c>
      <c r="E257" s="37">
        <f>IF(H256-$E463&gt;0,H256-$E463,H256-$E463+$E469)</f>
        <v>0.94375000000000053</v>
      </c>
      <c r="F257" s="40">
        <v>2017</v>
      </c>
      <c r="G257" s="40">
        <v>3</v>
      </c>
      <c r="H257" s="37">
        <v>0.29097222222222202</v>
      </c>
      <c r="I257" s="43">
        <v>50</v>
      </c>
      <c r="J257" s="43">
        <f>IF(I257=50,10,1)</f>
        <v>10</v>
      </c>
      <c r="K257" s="43"/>
      <c r="L257" s="438">
        <f>IF($I257&lt;192,0,IF($I257&gt;597,0, IF(VLOOKUP($I257,'CIRS Table Info'!$B$6:$J$425,3,FALSE)="Co-Add", 0.5,1) * (400 + IF(VLOOKUP($I257,'CIRS Table Info'!$B$6:$J$425,5,FALSE)="Data",1800,0) + IF(VLOOKUP($I257,'CIRS Table Info'!$B$6:$J$425,7,FALSE)="Data",1800,0) )))</f>
        <v>0</v>
      </c>
      <c r="M257" s="438">
        <f>VLOOKUP($B257,'CIRS Table IDs'!$B$6:$M$1001,12,FALSE)</f>
        <v>0</v>
      </c>
      <c r="N257" s="436" t="str">
        <f t="shared" si="13"/>
        <v/>
      </c>
      <c r="Q257" s="49"/>
      <c r="R257" s="49"/>
      <c r="S257" s="49"/>
      <c r="T257" s="49"/>
    </row>
    <row r="258" spans="1:20" x14ac:dyDescent="0.2">
      <c r="A258" s="21">
        <v>106</v>
      </c>
      <c r="B258" s="45" t="s">
        <v>529</v>
      </c>
      <c r="C258" s="36">
        <v>2017</v>
      </c>
      <c r="D258" s="36">
        <v>3</v>
      </c>
      <c r="E258" s="37">
        <v>0.29097222222222202</v>
      </c>
      <c r="F258" s="36">
        <v>2017</v>
      </c>
      <c r="G258" s="36">
        <v>3</v>
      </c>
      <c r="H258" s="37">
        <v>0.54097222222222197</v>
      </c>
      <c r="I258" s="43">
        <v>855</v>
      </c>
      <c r="J258" s="43">
        <f>IF(I258=50,10,1)</f>
        <v>1</v>
      </c>
      <c r="K258" s="43"/>
      <c r="L258" s="438">
        <f>IF($I258&lt;192,0,IF($I258&gt;597,0, IF(VLOOKUP($I258,'CIRS Table Info'!$B$6:$J$425,3,FALSE)="Co-Add", 0.5,1) * (400 + IF(VLOOKUP($I258,'CIRS Table Info'!$B$6:$J$425,5,FALSE)="Data",1800,0) + IF(VLOOKUP($I258,'CIRS Table Info'!$B$6:$J$425,7,FALSE)="Data",1800,0) )))</f>
        <v>0</v>
      </c>
      <c r="M258" s="438">
        <f>VLOOKUP($B258,'CIRS Table IDs'!$B$6:$M$1001,12,FALSE)</f>
        <v>3000</v>
      </c>
      <c r="N258" s="436" t="str">
        <f t="shared" si="13"/>
        <v/>
      </c>
      <c r="Q258" s="49"/>
      <c r="R258" s="49"/>
      <c r="S258" s="49"/>
      <c r="T258" s="49"/>
    </row>
    <row r="259" spans="1:20" x14ac:dyDescent="0.2">
      <c r="A259" s="21"/>
      <c r="B259" s="45" t="s">
        <v>146</v>
      </c>
      <c r="C259" s="40">
        <v>2017</v>
      </c>
      <c r="D259" s="40">
        <f>IF(H258&gt;=$E463,G258,G258-1)</f>
        <v>3</v>
      </c>
      <c r="E259" s="37">
        <f>IF(H258-$E463&gt;0,H258-$E463,H258-$E463+$E469)</f>
        <v>0.54027777777777752</v>
      </c>
      <c r="F259" s="40">
        <v>2017</v>
      </c>
      <c r="G259" s="40">
        <v>3</v>
      </c>
      <c r="H259" s="37">
        <v>0.92291666666666705</v>
      </c>
      <c r="I259" s="43">
        <v>602</v>
      </c>
      <c r="J259" s="43">
        <f>IF(I259=50,10,1)</f>
        <v>1</v>
      </c>
      <c r="K259" s="43"/>
      <c r="L259" s="438">
        <f>IF($I259&lt;192,0,IF($I259&gt;597,0, IF(VLOOKUP($I259,'CIRS Table Info'!$B$6:$J$425,3,FALSE)="Co-Add", 0.5,1) * (400 + IF(VLOOKUP($I259,'CIRS Table Info'!$B$6:$J$425,5,FALSE)="Data",1800,0) + IF(VLOOKUP($I259,'CIRS Table Info'!$B$6:$J$425,7,FALSE)="Data",1800,0) )))</f>
        <v>0</v>
      </c>
      <c r="M259" s="438">
        <f>VLOOKUP($B259,'CIRS Table IDs'!$B$6:$M$1001,12,FALSE)</f>
        <v>0</v>
      </c>
      <c r="N259" s="436" t="str">
        <f t="shared" si="13"/>
        <v/>
      </c>
      <c r="Q259" s="49"/>
      <c r="R259" s="49"/>
      <c r="S259" s="49"/>
      <c r="T259" s="49"/>
    </row>
    <row r="260" spans="1:20" x14ac:dyDescent="0.2">
      <c r="A260" s="21">
        <v>107</v>
      </c>
      <c r="B260" s="45" t="s">
        <v>530</v>
      </c>
      <c r="C260" s="36">
        <v>2017</v>
      </c>
      <c r="D260" s="36">
        <v>3</v>
      </c>
      <c r="E260" s="37">
        <v>0.92291666666666705</v>
      </c>
      <c r="F260" s="36">
        <f>IF($G260&gt;=$D260,$C260,$C260+1)</f>
        <v>2017</v>
      </c>
      <c r="G260" s="36">
        <f>IF(MOD($C$5,4)&lt;&gt;0,IF($D260+IF($H260&gt;=$E260,0,IF($H260+$E469&gt;=$E260,1,2))&gt;365,1,$D260+IF($H260&gt;=$E260,0,IF($H260+$E469&gt;=$E260,1,2))),IF($D260+IF($H260&gt;=$E260,0,IF($H260+$E469&gt;=$E260,1,2))&gt;366,1,$D260+IF($H260&gt;=$E260,0,IF($H260+$E469&gt;=$E260,1,2))))</f>
        <v>3</v>
      </c>
      <c r="H260" s="37">
        <f>IF(E260 + TIMEVALUE("00:04:50")&gt;=1,E260 + TIMEVALUE("00:04:50")-1,E260 + TIMEVALUE("00:04:50"))</f>
        <v>0.92627314814814854</v>
      </c>
      <c r="I260" s="496">
        <v>228</v>
      </c>
      <c r="J260" s="43">
        <v>1</v>
      </c>
      <c r="K260" s="43"/>
      <c r="L260" s="438">
        <f>IF($I260&lt;192,0,IF($I260&gt;597,0, IF(VLOOKUP($I260,'CIRS Table Info'!$B$6:$J$425,3,FALSE)="Co-Add", 0.5,1) * (400 + IF(VLOOKUP($I260,'CIRS Table Info'!$B$6:$J$425,5,FALSE)="Data",1800,0) + IF(VLOOKUP($I260,'CIRS Table Info'!$B$6:$J$425,7,FALSE)="Data",1800,0) )))</f>
        <v>2200</v>
      </c>
      <c r="M260" s="438">
        <f>VLOOKUP($B260,'CIRS Table IDs'!$B$6:$M$1001,12,FALSE)</f>
        <v>2200</v>
      </c>
      <c r="N260" s="436" t="str">
        <f t="shared" si="13"/>
        <v/>
      </c>
      <c r="Q260" s="49"/>
      <c r="R260" s="49"/>
      <c r="S260" s="49"/>
      <c r="T260" s="49"/>
    </row>
    <row r="261" spans="1:20" x14ac:dyDescent="0.2">
      <c r="A261" s="21"/>
      <c r="B261" s="45" t="s">
        <v>530</v>
      </c>
      <c r="C261" s="36">
        <f>$F260</f>
        <v>2017</v>
      </c>
      <c r="D261" s="36">
        <f>$G260</f>
        <v>3</v>
      </c>
      <c r="E261" s="37">
        <f>IF(E260 + TIMEVALUE("00:04:50")&gt;=1,E260 + TIMEVALUE("00:04:50")-1,E260 + TIMEVALUE("00:04:50"))</f>
        <v>0.92627314814814854</v>
      </c>
      <c r="F261" s="36">
        <f>IF($G261&gt;=$D261,$C261,$C261+1)</f>
        <v>2017</v>
      </c>
      <c r="G261" s="36">
        <f>IF(0.0895833333333333 - TIMEVALUE("00:05:50")&gt;=0, 4, 3)</f>
        <v>4</v>
      </c>
      <c r="H261" s="37">
        <f>IF(0.0895833333333333 - TIMEVALUE("00:05:50")&gt;=0, 0.0895833333333333 - TIMEVALUE("00:05:50"), 0.0895833333333333 - TIMEVALUE("00:05:50") +$E469)</f>
        <v>8.5532407407407376E-2</v>
      </c>
      <c r="I261" s="496">
        <v>225</v>
      </c>
      <c r="J261" s="43">
        <v>1</v>
      </c>
      <c r="K261" s="43"/>
      <c r="L261" s="438">
        <f>IF($I261&lt;192,0,IF($I261&gt;597,0, IF(VLOOKUP($I261,'CIRS Table Info'!$B$6:$J$425,3,FALSE)="Co-Add", 0.5,1) * (400 + IF(VLOOKUP($I261,'CIRS Table Info'!$B$6:$J$425,5,FALSE)="Data",1800,0) + IF(VLOOKUP($I261,'CIRS Table Info'!$B$6:$J$425,7,FALSE)="Data",1800,0) )))</f>
        <v>2200</v>
      </c>
      <c r="M261" s="438">
        <f>VLOOKUP($B261,'CIRS Table IDs'!$B$6:$M$1001,12,FALSE)</f>
        <v>2200</v>
      </c>
      <c r="N261" s="436" t="str">
        <f t="shared" si="13"/>
        <v/>
      </c>
      <c r="Q261" s="49"/>
      <c r="R261" s="49"/>
      <c r="S261" s="49"/>
      <c r="T261" s="49"/>
    </row>
    <row r="262" spans="1:20" x14ac:dyDescent="0.2">
      <c r="A262" s="21"/>
      <c r="B262" s="45" t="s">
        <v>530</v>
      </c>
      <c r="C262" s="36">
        <f>$F261</f>
        <v>2017</v>
      </c>
      <c r="D262" s="36">
        <f>$G261</f>
        <v>4</v>
      </c>
      <c r="E262" s="37">
        <f>IF(0.0895833333333333 - TIMEVALUE("00:05:50")&gt;=0, 0.0895833333333333 - TIMEVALUE("00:05:50"), 0.0895833333333333 - TIMEVALUE("00:05:50") +$E469)</f>
        <v>8.5532407407407376E-2</v>
      </c>
      <c r="F262" s="36">
        <f>IF($G262&gt;=$D262,$C262,$C262+1)</f>
        <v>2017</v>
      </c>
      <c r="G262" s="36">
        <v>4</v>
      </c>
      <c r="H262" s="37">
        <v>8.9583333333333307E-2</v>
      </c>
      <c r="I262" s="496">
        <v>228</v>
      </c>
      <c r="J262" s="43">
        <v>1</v>
      </c>
      <c r="K262" s="43"/>
      <c r="L262" s="438">
        <f>IF($I262&lt;192,0,IF($I262&gt;597,0, IF(VLOOKUP($I262,'CIRS Table Info'!$B$6:$J$425,3,FALSE)="Co-Add", 0.5,1) * (400 + IF(VLOOKUP($I262,'CIRS Table Info'!$B$6:$J$425,5,FALSE)="Data",1800,0) + IF(VLOOKUP($I262,'CIRS Table Info'!$B$6:$J$425,7,FALSE)="Data",1800,0) )))</f>
        <v>2200</v>
      </c>
      <c r="M262" s="438">
        <f>VLOOKUP($B262,'CIRS Table IDs'!$B$6:$M$1001,12,FALSE)</f>
        <v>2200</v>
      </c>
      <c r="N262" s="436" t="str">
        <f t="shared" si="13"/>
        <v/>
      </c>
      <c r="Q262" s="49"/>
      <c r="R262" s="49"/>
      <c r="S262" s="49"/>
      <c r="T262" s="49"/>
    </row>
    <row r="263" spans="1:20" x14ac:dyDescent="0.2">
      <c r="A263" s="21"/>
      <c r="B263" s="45" t="s">
        <v>147</v>
      </c>
      <c r="C263" s="36">
        <v>2017</v>
      </c>
      <c r="D263" s="36">
        <f>IF(H262&gt;=$E463,G262,G262-1)</f>
        <v>4</v>
      </c>
      <c r="E263" s="37">
        <f>IF(H262-$E463&gt;0,H262-$E463,H262-$E463+$E469)</f>
        <v>8.8888888888888865E-2</v>
      </c>
      <c r="F263" s="40">
        <v>2017</v>
      </c>
      <c r="G263" s="40">
        <v>4</v>
      </c>
      <c r="H263" s="37">
        <v>8.9583333333333307E-2</v>
      </c>
      <c r="I263" s="43">
        <v>600</v>
      </c>
      <c r="J263" s="43">
        <f>IF(I263=50,10,1)</f>
        <v>1</v>
      </c>
      <c r="K263" s="43"/>
      <c r="L263" s="438">
        <f>IF($I263&lt;192,0,IF($I263&gt;597,0, IF(VLOOKUP($I263,'CIRS Table Info'!$B$6:$J$425,3,FALSE)="Co-Add", 0.5,1) * (400 + IF(VLOOKUP($I263,'CIRS Table Info'!$B$6:$J$425,5,FALSE)="Data",1800,0) + IF(VLOOKUP($I263,'CIRS Table Info'!$B$6:$J$425,7,FALSE)="Data",1800,0) )))</f>
        <v>0</v>
      </c>
      <c r="M263" s="438">
        <f>VLOOKUP($B263,'CIRS Table IDs'!$B$6:$M$1001,12,FALSE)</f>
        <v>0</v>
      </c>
      <c r="N263" s="436" t="str">
        <f t="shared" si="13"/>
        <v/>
      </c>
      <c r="Q263" s="49"/>
      <c r="R263" s="49"/>
      <c r="S263" s="49"/>
      <c r="T263" s="49"/>
    </row>
    <row r="264" spans="1:20" x14ac:dyDescent="0.2">
      <c r="A264" s="21">
        <v>108</v>
      </c>
      <c r="B264" s="45" t="s">
        <v>533</v>
      </c>
      <c r="C264" s="36">
        <v>2017</v>
      </c>
      <c r="D264" s="36">
        <v>4</v>
      </c>
      <c r="E264" s="37">
        <v>8.9583333333333307E-2</v>
      </c>
      <c r="F264" s="36">
        <v>2017</v>
      </c>
      <c r="G264" s="36">
        <v>4</v>
      </c>
      <c r="H264" s="37">
        <f>E265</f>
        <v>9.2939814814814822E-2</v>
      </c>
      <c r="I264" s="43">
        <v>203</v>
      </c>
      <c r="J264" s="43">
        <f>IF(I264=50,10,1)</f>
        <v>1</v>
      </c>
      <c r="K264" s="43"/>
      <c r="L264" s="438">
        <f>IF($I264&lt;192,0,IF($I264&gt;597,0, IF(VLOOKUP($I264,'CIRS Table Info'!$B$6:$J$425,3,FALSE)="Co-Add", 0.5,1) * (400 + IF(VLOOKUP($I264,'CIRS Table Info'!$B$6:$J$425,5,FALSE)="Data",1800,0) + IF(VLOOKUP($I264,'CIRS Table Info'!$B$6:$J$425,7,FALSE)="Data",1800,0) )))</f>
        <v>2200</v>
      </c>
      <c r="M264" s="438">
        <f>VLOOKUP($B264,'CIRS Table IDs'!$B$6:$M$1001,12,FALSE)</f>
        <v>2200</v>
      </c>
      <c r="N264" s="436" t="str">
        <f t="shared" si="13"/>
        <v/>
      </c>
      <c r="Q264" s="49"/>
      <c r="R264" s="49"/>
      <c r="S264" s="49"/>
      <c r="T264" s="49"/>
    </row>
    <row r="265" spans="1:20" x14ac:dyDescent="0.2">
      <c r="A265" s="21"/>
      <c r="B265" s="45" t="s">
        <v>533</v>
      </c>
      <c r="C265" s="36">
        <v>2017</v>
      </c>
      <c r="D265" s="36">
        <v>4</v>
      </c>
      <c r="E265" s="37">
        <v>9.2939814814814822E-2</v>
      </c>
      <c r="F265" s="36">
        <v>2017</v>
      </c>
      <c r="G265" s="36">
        <v>4</v>
      </c>
      <c r="H265" s="37">
        <f t="shared" ref="H265:H267" si="14">E266</f>
        <v>0.29403935185185187</v>
      </c>
      <c r="I265" s="43">
        <v>200</v>
      </c>
      <c r="J265" s="43">
        <f t="shared" ref="J265:J268" si="15">IF(I265=50,10,1)</f>
        <v>1</v>
      </c>
      <c r="K265" s="43"/>
      <c r="L265" s="438"/>
      <c r="M265" s="438"/>
      <c r="N265" s="436"/>
      <c r="Q265" s="49"/>
      <c r="R265" s="49"/>
      <c r="S265" s="49"/>
      <c r="T265" s="49"/>
    </row>
    <row r="266" spans="1:20" x14ac:dyDescent="0.2">
      <c r="A266" s="21"/>
      <c r="B266" s="45" t="s">
        <v>533</v>
      </c>
      <c r="C266" s="36">
        <v>2017</v>
      </c>
      <c r="D266" s="36">
        <v>4</v>
      </c>
      <c r="E266" s="37">
        <v>0.29403935185185187</v>
      </c>
      <c r="F266" s="36">
        <v>2017</v>
      </c>
      <c r="G266" s="36">
        <v>4</v>
      </c>
      <c r="H266" s="37">
        <f t="shared" si="14"/>
        <v>0.29554398148148148</v>
      </c>
      <c r="I266" s="43">
        <v>203</v>
      </c>
      <c r="J266" s="43">
        <f t="shared" si="15"/>
        <v>1</v>
      </c>
      <c r="K266" s="43"/>
      <c r="L266" s="438"/>
      <c r="M266" s="438"/>
      <c r="N266" s="436"/>
      <c r="Q266" s="49"/>
      <c r="R266" s="49"/>
      <c r="S266" s="49"/>
      <c r="T266" s="49"/>
    </row>
    <row r="267" spans="1:20" x14ac:dyDescent="0.2">
      <c r="A267" s="21"/>
      <c r="B267" s="45" t="s">
        <v>533</v>
      </c>
      <c r="C267" s="36">
        <v>2017</v>
      </c>
      <c r="D267" s="36">
        <v>4</v>
      </c>
      <c r="E267" s="37">
        <v>0.29554398148148148</v>
      </c>
      <c r="F267" s="36">
        <v>2017</v>
      </c>
      <c r="G267" s="36">
        <v>4</v>
      </c>
      <c r="H267" s="37">
        <f t="shared" si="14"/>
        <v>0.49594907407407413</v>
      </c>
      <c r="I267" s="43">
        <v>200</v>
      </c>
      <c r="J267" s="43">
        <f t="shared" si="15"/>
        <v>1</v>
      </c>
      <c r="K267" s="43"/>
      <c r="L267" s="438"/>
      <c r="M267" s="438"/>
      <c r="N267" s="436"/>
      <c r="Q267" s="49"/>
      <c r="R267" s="49"/>
      <c r="S267" s="49"/>
      <c r="T267" s="49"/>
    </row>
    <row r="268" spans="1:20" x14ac:dyDescent="0.2">
      <c r="A268" s="21"/>
      <c r="B268" s="45" t="s">
        <v>533</v>
      </c>
      <c r="C268" s="36">
        <v>2017</v>
      </c>
      <c r="D268" s="36">
        <v>4</v>
      </c>
      <c r="E268" s="37">
        <v>0.49594907407407413</v>
      </c>
      <c r="F268" s="36">
        <v>2017</v>
      </c>
      <c r="G268" s="36">
        <v>4</v>
      </c>
      <c r="H268" s="37">
        <f>E269+E463</f>
        <v>0.5</v>
      </c>
      <c r="I268" s="43">
        <v>203</v>
      </c>
      <c r="J268" s="43">
        <f t="shared" si="15"/>
        <v>1</v>
      </c>
      <c r="K268" s="43"/>
      <c r="L268" s="438"/>
      <c r="M268" s="438"/>
      <c r="N268" s="436"/>
      <c r="Q268" s="49"/>
      <c r="R268" s="49"/>
      <c r="S268" s="49"/>
      <c r="T268" s="49"/>
    </row>
    <row r="269" spans="1:20" x14ac:dyDescent="0.2">
      <c r="A269" s="21"/>
      <c r="B269" s="45" t="s">
        <v>148</v>
      </c>
      <c r="C269" s="40">
        <v>2017</v>
      </c>
      <c r="D269" s="40">
        <v>4</v>
      </c>
      <c r="E269" s="37">
        <v>0.49930555555555556</v>
      </c>
      <c r="F269" s="40">
        <v>2017</v>
      </c>
      <c r="G269" s="40">
        <v>4</v>
      </c>
      <c r="H269" s="37">
        <v>0.5</v>
      </c>
      <c r="I269" s="43">
        <v>600</v>
      </c>
      <c r="J269" s="43">
        <f>IF(I269=50,10,1)</f>
        <v>1</v>
      </c>
      <c r="K269" s="43"/>
      <c r="L269" s="438">
        <f>IF($I269&lt;192,0,IF($I269&gt;597,0, IF(VLOOKUP($I269,'CIRS Table Info'!$B$6:$J$425,3,FALSE)="Co-Add", 0.5,1) * (400 + IF(VLOOKUP($I269,'CIRS Table Info'!$B$6:$J$425,5,FALSE)="Data",1800,0) + IF(VLOOKUP($I269,'CIRS Table Info'!$B$6:$J$425,7,FALSE)="Data",1800,0) )))</f>
        <v>0</v>
      </c>
      <c r="M269" s="438">
        <f>VLOOKUP($B269,'CIRS Table IDs'!$B$6:$M$1001,12,FALSE)</f>
        <v>0</v>
      </c>
      <c r="N269" s="436" t="str">
        <f t="shared" si="13"/>
        <v/>
      </c>
      <c r="Q269" s="49"/>
      <c r="R269" s="49"/>
      <c r="S269" s="49"/>
      <c r="T269" s="49"/>
    </row>
    <row r="270" spans="1:20" x14ac:dyDescent="0.2">
      <c r="A270" s="21">
        <v>109</v>
      </c>
      <c r="B270" s="45" t="s">
        <v>535</v>
      </c>
      <c r="C270" s="36">
        <v>2017</v>
      </c>
      <c r="D270" s="36">
        <v>4</v>
      </c>
      <c r="E270" s="37">
        <v>0.5</v>
      </c>
      <c r="F270" s="36">
        <v>2017</v>
      </c>
      <c r="G270" s="36">
        <v>4</v>
      </c>
      <c r="H270" s="37">
        <v>0.82569444444444395</v>
      </c>
      <c r="I270" s="43">
        <v>500</v>
      </c>
      <c r="J270" s="43">
        <v>2</v>
      </c>
      <c r="K270" s="43"/>
      <c r="L270" s="438">
        <f>IF($I270&lt;192,0,IF($I270&gt;597,0, IF(VLOOKUP($I270,'CIRS Table Info'!$B$6:$J$425,3,FALSE)="Co-Add", 0.5,1) * (400 + IF(VLOOKUP($I270,'CIRS Table Info'!$B$6:$J$425,5,FALSE)="Data",1800,0) + IF(VLOOKUP($I270,'CIRS Table Info'!$B$6:$J$425,7,FALSE)="Data",1800,0) )))</f>
        <v>2200</v>
      </c>
      <c r="M270" s="438">
        <f>VLOOKUP($B270,'CIRS Table IDs'!$B$6:$M$1001,12,FALSE)</f>
        <v>2200</v>
      </c>
      <c r="N270" s="436" t="str">
        <f t="shared" si="13"/>
        <v/>
      </c>
      <c r="Q270" s="49"/>
      <c r="R270" s="49"/>
      <c r="S270" s="49"/>
      <c r="T270" s="49"/>
    </row>
    <row r="271" spans="1:20" x14ac:dyDescent="0.2">
      <c r="A271" s="21"/>
      <c r="B271" s="45" t="s">
        <v>149</v>
      </c>
      <c r="C271" s="40">
        <v>2017</v>
      </c>
      <c r="D271" s="40">
        <f>IF(H270&gt;=$E463,G270,G270-1)</f>
        <v>4</v>
      </c>
      <c r="E271" s="37">
        <f>IF(H270-$E463&gt;0,H270-$E463,H270-$E463+$E469)</f>
        <v>0.82499999999999951</v>
      </c>
      <c r="F271" s="40">
        <v>2017</v>
      </c>
      <c r="G271" s="40">
        <v>4</v>
      </c>
      <c r="H271" s="37">
        <v>0.89513888888888904</v>
      </c>
      <c r="I271" s="43">
        <v>50</v>
      </c>
      <c r="J271" s="43">
        <f t="shared" ref="J271:J283" si="16">IF(I271=50,10,1)</f>
        <v>10</v>
      </c>
      <c r="K271" s="43"/>
      <c r="L271" s="438">
        <f>IF($I271&lt;192,0,IF($I271&gt;597,0, IF(VLOOKUP($I271,'CIRS Table Info'!$B$6:$J$425,3,FALSE)="Co-Add", 0.5,1) * (400 + IF(VLOOKUP($I271,'CIRS Table Info'!$B$6:$J$425,5,FALSE)="Data",1800,0) + IF(VLOOKUP($I271,'CIRS Table Info'!$B$6:$J$425,7,FALSE)="Data",1800,0) )))</f>
        <v>0</v>
      </c>
      <c r="M271" s="438">
        <f>VLOOKUP($B271,'CIRS Table IDs'!$B$6:$M$1001,12,FALSE)</f>
        <v>0</v>
      </c>
      <c r="N271" s="436" t="str">
        <f t="shared" si="13"/>
        <v/>
      </c>
      <c r="Q271" s="49"/>
      <c r="R271" s="49"/>
      <c r="S271" s="49"/>
      <c r="T271" s="49"/>
    </row>
    <row r="272" spans="1:20" x14ac:dyDescent="0.2">
      <c r="A272" s="21">
        <v>110</v>
      </c>
      <c r="B272" s="45" t="s">
        <v>536</v>
      </c>
      <c r="C272" s="36">
        <v>2017</v>
      </c>
      <c r="D272" s="36">
        <v>4</v>
      </c>
      <c r="E272" s="37">
        <v>0.89513888888888904</v>
      </c>
      <c r="F272" s="36">
        <v>2017</v>
      </c>
      <c r="G272" s="36">
        <v>5</v>
      </c>
      <c r="H272" s="37">
        <v>0.22847222222222199</v>
      </c>
      <c r="I272" s="43">
        <v>859</v>
      </c>
      <c r="J272" s="43">
        <f t="shared" si="16"/>
        <v>1</v>
      </c>
      <c r="K272" s="43"/>
      <c r="L272" s="438">
        <f>IF($I272&lt;192,0,IF($I272&gt;597,0, IF(VLOOKUP($I272,'CIRS Table Info'!$B$6:$J$425,3,FALSE)="Co-Add", 0.5,1) * (400 + IF(VLOOKUP($I272,'CIRS Table Info'!$B$6:$J$425,5,FALSE)="Data",1800,0) + IF(VLOOKUP($I272,'CIRS Table Info'!$B$6:$J$425,7,FALSE)="Data",1800,0) )))</f>
        <v>0</v>
      </c>
      <c r="M272" s="438">
        <f>VLOOKUP($B272,'CIRS Table IDs'!$B$6:$M$1001,12,FALSE)</f>
        <v>3000</v>
      </c>
      <c r="N272" s="436" t="str">
        <f t="shared" si="13"/>
        <v/>
      </c>
      <c r="Q272" s="49"/>
      <c r="R272" s="49"/>
      <c r="S272" s="49"/>
      <c r="T272" s="49"/>
    </row>
    <row r="273" spans="1:20" x14ac:dyDescent="0.2">
      <c r="A273" s="21"/>
      <c r="B273" s="45" t="s">
        <v>150</v>
      </c>
      <c r="C273" s="40">
        <v>2017</v>
      </c>
      <c r="D273" s="40">
        <f>IF(H272&gt;=$E463,G272,G272-1)</f>
        <v>5</v>
      </c>
      <c r="E273" s="37">
        <f>IF(H272-$E463&gt;0,H272-$E463,H272-$E463+$E469)</f>
        <v>0.22777777777777755</v>
      </c>
      <c r="F273" s="40">
        <v>2017</v>
      </c>
      <c r="G273" s="40">
        <v>5</v>
      </c>
      <c r="H273" s="37">
        <v>0.29097222222222202</v>
      </c>
      <c r="I273" s="43">
        <v>600</v>
      </c>
      <c r="J273" s="43">
        <f t="shared" si="16"/>
        <v>1</v>
      </c>
      <c r="K273" s="43"/>
      <c r="L273" s="438">
        <f>IF($I273&lt;192,0,IF($I273&gt;597,0, IF(VLOOKUP($I273,'CIRS Table Info'!$B$6:$J$425,3,FALSE)="Co-Add", 0.5,1) * (400 + IF(VLOOKUP($I273,'CIRS Table Info'!$B$6:$J$425,5,FALSE)="Data",1800,0) + IF(VLOOKUP($I273,'CIRS Table Info'!$B$6:$J$425,7,FALSE)="Data",1800,0) )))</f>
        <v>0</v>
      </c>
      <c r="M273" s="438">
        <f>VLOOKUP($B273,'CIRS Table IDs'!$B$6:$M$1001,12,FALSE)</f>
        <v>0</v>
      </c>
      <c r="N273" s="436" t="str">
        <f t="shared" si="13"/>
        <v/>
      </c>
      <c r="Q273" s="49"/>
      <c r="R273" s="49"/>
      <c r="S273" s="49"/>
      <c r="T273" s="49"/>
    </row>
    <row r="274" spans="1:20" x14ac:dyDescent="0.2">
      <c r="A274" s="21">
        <v>111</v>
      </c>
      <c r="B274" s="45" t="s">
        <v>537</v>
      </c>
      <c r="C274" s="36">
        <v>2017</v>
      </c>
      <c r="D274" s="36">
        <v>5</v>
      </c>
      <c r="E274" s="37">
        <v>0.29097222222222202</v>
      </c>
      <c r="F274" s="36">
        <v>2017</v>
      </c>
      <c r="G274" s="36">
        <v>5</v>
      </c>
      <c r="H274" s="37">
        <f>E275</f>
        <v>0.29432870370370373</v>
      </c>
      <c r="I274" s="43">
        <v>203</v>
      </c>
      <c r="J274" s="43">
        <f t="shared" si="16"/>
        <v>1</v>
      </c>
      <c r="K274" s="43"/>
      <c r="L274" s="438">
        <f>IF($I274&lt;192,0,IF($I274&gt;597,0, IF(VLOOKUP($I274,'CIRS Table Info'!$B$6:$J$425,3,FALSE)="Co-Add", 0.5,1) * (400 + IF(VLOOKUP($I274,'CIRS Table Info'!$B$6:$J$425,5,FALSE)="Data",1800,0) + IF(VLOOKUP($I274,'CIRS Table Info'!$B$6:$J$425,7,FALSE)="Data",1800,0) )))</f>
        <v>2200</v>
      </c>
      <c r="M274" s="438">
        <f>VLOOKUP($B274,'CIRS Table IDs'!$B$6:$M$1001,12,FALSE)</f>
        <v>2200</v>
      </c>
      <c r="N274" s="436" t="str">
        <f t="shared" si="13"/>
        <v/>
      </c>
      <c r="Q274" s="49"/>
      <c r="R274" s="49"/>
      <c r="S274" s="49"/>
      <c r="T274" s="49"/>
    </row>
    <row r="275" spans="1:20" x14ac:dyDescent="0.2">
      <c r="A275" s="21"/>
      <c r="B275" s="45" t="s">
        <v>537</v>
      </c>
      <c r="C275" s="36">
        <v>2017</v>
      </c>
      <c r="D275" s="36">
        <v>5</v>
      </c>
      <c r="E275" s="37">
        <v>0.29432870370370373</v>
      </c>
      <c r="F275" s="36">
        <v>2017</v>
      </c>
      <c r="G275" s="36">
        <v>5</v>
      </c>
      <c r="H275" s="37">
        <f t="shared" ref="H275:H277" si="17">E276</f>
        <v>0.49577546296296293</v>
      </c>
      <c r="I275" s="43">
        <v>200</v>
      </c>
      <c r="J275" s="43">
        <f t="shared" si="16"/>
        <v>1</v>
      </c>
      <c r="K275" s="43"/>
      <c r="L275" s="438"/>
      <c r="M275" s="438"/>
      <c r="N275" s="436"/>
      <c r="Q275" s="49"/>
      <c r="R275" s="49"/>
      <c r="S275" s="49"/>
      <c r="T275" s="49"/>
    </row>
    <row r="276" spans="1:20" x14ac:dyDescent="0.2">
      <c r="A276" s="21"/>
      <c r="B276" s="45" t="s">
        <v>537</v>
      </c>
      <c r="C276" s="36">
        <v>2017</v>
      </c>
      <c r="D276" s="36">
        <v>5</v>
      </c>
      <c r="E276" s="37">
        <v>0.49577546296296293</v>
      </c>
      <c r="F276" s="36">
        <v>2017</v>
      </c>
      <c r="G276" s="36">
        <v>5</v>
      </c>
      <c r="H276" s="37">
        <f t="shared" si="17"/>
        <v>0.49728009259259259</v>
      </c>
      <c r="I276" s="43">
        <v>203</v>
      </c>
      <c r="J276" s="43">
        <f t="shared" si="16"/>
        <v>1</v>
      </c>
      <c r="K276" s="43"/>
      <c r="L276" s="438"/>
      <c r="M276" s="438"/>
      <c r="N276" s="436"/>
      <c r="Q276" s="49"/>
      <c r="R276" s="49"/>
      <c r="S276" s="49"/>
      <c r="T276" s="49"/>
    </row>
    <row r="277" spans="1:20" x14ac:dyDescent="0.2">
      <c r="A277" s="21"/>
      <c r="B277" s="45" t="s">
        <v>537</v>
      </c>
      <c r="C277" s="36">
        <v>2017</v>
      </c>
      <c r="D277" s="36">
        <v>5</v>
      </c>
      <c r="E277" s="37">
        <v>0.49728009259259259</v>
      </c>
      <c r="F277" s="36">
        <v>2017</v>
      </c>
      <c r="G277" s="36">
        <v>5</v>
      </c>
      <c r="H277" s="37">
        <f t="shared" si="17"/>
        <v>0.69803240740740735</v>
      </c>
      <c r="I277" s="43">
        <v>200</v>
      </c>
      <c r="J277" s="43">
        <f t="shared" si="16"/>
        <v>1</v>
      </c>
      <c r="K277" s="43"/>
      <c r="L277" s="438"/>
      <c r="M277" s="438"/>
      <c r="N277" s="436"/>
      <c r="Q277" s="49"/>
      <c r="R277" s="49"/>
      <c r="S277" s="49"/>
      <c r="T277" s="49"/>
    </row>
    <row r="278" spans="1:20" x14ac:dyDescent="0.2">
      <c r="A278" s="21"/>
      <c r="B278" s="45" t="s">
        <v>537</v>
      </c>
      <c r="C278" s="36">
        <v>2017</v>
      </c>
      <c r="D278" s="36">
        <v>5</v>
      </c>
      <c r="E278" s="37">
        <v>0.69803240740740735</v>
      </c>
      <c r="F278" s="36">
        <v>2017</v>
      </c>
      <c r="G278" s="36">
        <v>5</v>
      </c>
      <c r="H278" s="37">
        <f>E279+E463</f>
        <v>0.70208333333333295</v>
      </c>
      <c r="I278" s="43">
        <v>203</v>
      </c>
      <c r="J278" s="43">
        <f t="shared" si="16"/>
        <v>1</v>
      </c>
      <c r="K278" s="43"/>
      <c r="L278" s="438"/>
      <c r="M278" s="438"/>
      <c r="N278" s="436"/>
      <c r="Q278" s="49"/>
      <c r="R278" s="49"/>
      <c r="S278" s="49"/>
      <c r="T278" s="49"/>
    </row>
    <row r="279" spans="1:20" x14ac:dyDescent="0.2">
      <c r="A279" s="21"/>
      <c r="B279" s="45" t="s">
        <v>151</v>
      </c>
      <c r="C279" s="40">
        <v>2017</v>
      </c>
      <c r="D279" s="40">
        <v>5</v>
      </c>
      <c r="E279" s="37">
        <v>0.70138888888888851</v>
      </c>
      <c r="F279" s="40">
        <v>2017</v>
      </c>
      <c r="G279" s="40">
        <v>5</v>
      </c>
      <c r="H279" s="37">
        <v>0.80625000000000002</v>
      </c>
      <c r="I279" s="43">
        <v>50</v>
      </c>
      <c r="J279" s="43">
        <f t="shared" si="16"/>
        <v>10</v>
      </c>
      <c r="K279" s="43"/>
      <c r="L279" s="438">
        <f>IF($I279&lt;192,0,IF($I279&gt;597,0, IF(VLOOKUP($I279,'CIRS Table Info'!$B$6:$J$425,3,FALSE)="Co-Add", 0.5,1) * (400 + IF(VLOOKUP($I279,'CIRS Table Info'!$B$6:$J$425,5,FALSE)="Data",1800,0) + IF(VLOOKUP($I279,'CIRS Table Info'!$B$6:$J$425,7,FALSE)="Data",1800,0) )))</f>
        <v>0</v>
      </c>
      <c r="M279" s="438">
        <f>VLOOKUP($B279,'CIRS Table IDs'!$B$6:$M$1001,12,FALSE)</f>
        <v>0</v>
      </c>
      <c r="N279" s="436" t="str">
        <f t="shared" si="13"/>
        <v/>
      </c>
      <c r="Q279" s="49"/>
      <c r="R279" s="49"/>
      <c r="S279" s="49"/>
      <c r="T279" s="49"/>
    </row>
    <row r="280" spans="1:20" x14ac:dyDescent="0.2">
      <c r="A280" s="21">
        <v>112</v>
      </c>
      <c r="B280" s="45" t="s">
        <v>540</v>
      </c>
      <c r="C280" s="36">
        <v>2017</v>
      </c>
      <c r="D280" s="36">
        <v>5</v>
      </c>
      <c r="E280" s="37">
        <v>0.80625000000000002</v>
      </c>
      <c r="F280" s="36">
        <v>2017</v>
      </c>
      <c r="G280" s="36">
        <v>6</v>
      </c>
      <c r="H280" s="37">
        <v>0.139583333333333</v>
      </c>
      <c r="I280" s="43">
        <v>861</v>
      </c>
      <c r="J280" s="43">
        <f t="shared" si="16"/>
        <v>1</v>
      </c>
      <c r="K280" s="43"/>
      <c r="L280" s="438">
        <f>IF($I280&lt;192,0,IF($I280&gt;597,0, IF(VLOOKUP($I280,'CIRS Table Info'!$B$6:$J$425,3,FALSE)="Co-Add", 0.5,1) * (400 + IF(VLOOKUP($I280,'CIRS Table Info'!$B$6:$J$425,5,FALSE)="Data",1800,0) + IF(VLOOKUP($I280,'CIRS Table Info'!$B$6:$J$425,7,FALSE)="Data",1800,0) )))</f>
        <v>0</v>
      </c>
      <c r="M280" s="438">
        <f>VLOOKUP($B280,'CIRS Table IDs'!$B$6:$M$1001,12,FALSE)</f>
        <v>3000</v>
      </c>
      <c r="N280" s="436" t="str">
        <f t="shared" si="13"/>
        <v/>
      </c>
      <c r="Q280" s="49"/>
      <c r="R280" s="49"/>
      <c r="S280" s="49"/>
      <c r="T280" s="49"/>
    </row>
    <row r="281" spans="1:20" x14ac:dyDescent="0.2">
      <c r="A281" s="21"/>
      <c r="B281" s="45" t="s">
        <v>152</v>
      </c>
      <c r="C281" s="40">
        <v>2017</v>
      </c>
      <c r="D281" s="40">
        <f>IF(H280&gt;=$E463,G280,G280-1)</f>
        <v>6</v>
      </c>
      <c r="E281" s="37">
        <f>IF(H280-$E463&gt;0,H280-$E463,H280-$E463+$E469)</f>
        <v>0.13888888888888856</v>
      </c>
      <c r="F281" s="40">
        <v>2017</v>
      </c>
      <c r="G281" s="40">
        <v>6</v>
      </c>
      <c r="H281" s="37">
        <v>0.77083333333333304</v>
      </c>
      <c r="I281" s="43">
        <v>50</v>
      </c>
      <c r="J281" s="43">
        <f t="shared" si="16"/>
        <v>10</v>
      </c>
      <c r="K281" s="43"/>
      <c r="L281" s="438">
        <f>IF($I281&lt;192,0,IF($I281&gt;597,0, IF(VLOOKUP($I281,'CIRS Table Info'!$B$6:$J$425,3,FALSE)="Co-Add", 0.5,1) * (400 + IF(VLOOKUP($I281,'CIRS Table Info'!$B$6:$J$425,5,FALSE)="Data",1800,0) + IF(VLOOKUP($I281,'CIRS Table Info'!$B$6:$J$425,7,FALSE)="Data",1800,0) )))</f>
        <v>0</v>
      </c>
      <c r="M281" s="438">
        <f>VLOOKUP($B281,'CIRS Table IDs'!$B$6:$M$1001,12,FALSE)</f>
        <v>0</v>
      </c>
      <c r="N281" s="436" t="str">
        <f t="shared" si="13"/>
        <v/>
      </c>
      <c r="Q281" s="49"/>
      <c r="R281" s="49"/>
      <c r="S281" s="49"/>
      <c r="T281" s="49"/>
    </row>
    <row r="282" spans="1:20" x14ac:dyDescent="0.2">
      <c r="A282" s="21">
        <v>113</v>
      </c>
      <c r="B282" s="45" t="s">
        <v>541</v>
      </c>
      <c r="C282" s="36">
        <v>2017</v>
      </c>
      <c r="D282" s="36">
        <v>6</v>
      </c>
      <c r="E282" s="37">
        <v>0.77083333333333304</v>
      </c>
      <c r="F282" s="36">
        <v>2017</v>
      </c>
      <c r="G282" s="36">
        <v>7</v>
      </c>
      <c r="H282" s="37">
        <v>0.104166666666667</v>
      </c>
      <c r="I282" s="43">
        <v>862</v>
      </c>
      <c r="J282" s="43">
        <f t="shared" si="16"/>
        <v>1</v>
      </c>
      <c r="K282" s="43"/>
      <c r="L282" s="438">
        <f>IF($I282&lt;192,0,IF($I282&gt;597,0, IF(VLOOKUP($I282,'CIRS Table Info'!$B$6:$J$425,3,FALSE)="Co-Add", 0.5,1) * (400 + IF(VLOOKUP($I282,'CIRS Table Info'!$B$6:$J$425,5,FALSE)="Data",1800,0) + IF(VLOOKUP($I282,'CIRS Table Info'!$B$6:$J$425,7,FALSE)="Data",1800,0) )))</f>
        <v>0</v>
      </c>
      <c r="M282" s="438">
        <f>VLOOKUP($B282,'CIRS Table IDs'!$B$6:$M$1001,12,FALSE)</f>
        <v>3000</v>
      </c>
      <c r="N282" s="436" t="str">
        <f t="shared" si="13"/>
        <v/>
      </c>
      <c r="Q282" s="49"/>
      <c r="R282" s="49"/>
      <c r="S282" s="49"/>
      <c r="T282" s="49"/>
    </row>
    <row r="283" spans="1:20" x14ac:dyDescent="0.2">
      <c r="A283" s="21"/>
      <c r="B283" s="45" t="s">
        <v>153</v>
      </c>
      <c r="C283" s="40">
        <v>2017</v>
      </c>
      <c r="D283" s="40">
        <f>IF(H282&gt;=$E463,G282,G282-1)</f>
        <v>7</v>
      </c>
      <c r="E283" s="37">
        <f>IF(H282-$E463&gt;0,H282-$E463,H282-$E463+$E469)</f>
        <v>0.10347222222222256</v>
      </c>
      <c r="F283" s="40">
        <v>2017</v>
      </c>
      <c r="G283" s="40">
        <v>7</v>
      </c>
      <c r="H283" s="37">
        <v>0.131944444444444</v>
      </c>
      <c r="I283" s="43">
        <v>600</v>
      </c>
      <c r="J283" s="43">
        <f t="shared" si="16"/>
        <v>1</v>
      </c>
      <c r="K283" s="43"/>
      <c r="L283" s="438">
        <f>IF($I283&lt;192,0,IF($I283&gt;597,0, IF(VLOOKUP($I283,'CIRS Table Info'!$B$6:$J$425,3,FALSE)="Co-Add", 0.5,1) * (400 + IF(VLOOKUP($I283,'CIRS Table Info'!$B$6:$J$425,5,FALSE)="Data",1800,0) + IF(VLOOKUP($I283,'CIRS Table Info'!$B$6:$J$425,7,FALSE)="Data",1800,0) )))</f>
        <v>0</v>
      </c>
      <c r="M283" s="438">
        <f>VLOOKUP($B283,'CIRS Table IDs'!$B$6:$M$1001,12,FALSE)</f>
        <v>0</v>
      </c>
      <c r="N283" s="436" t="str">
        <f t="shared" si="13"/>
        <v/>
      </c>
      <c r="Q283" s="49"/>
      <c r="R283" s="49"/>
      <c r="S283" s="49"/>
      <c r="T283" s="49"/>
    </row>
    <row r="284" spans="1:20" x14ac:dyDescent="0.2">
      <c r="A284" s="21">
        <v>114</v>
      </c>
      <c r="B284" s="45" t="s">
        <v>542</v>
      </c>
      <c r="C284" s="36">
        <v>2017</v>
      </c>
      <c r="D284" s="36">
        <v>7</v>
      </c>
      <c r="E284" s="37">
        <v>0.131944444444444</v>
      </c>
      <c r="F284" s="36">
        <v>2017</v>
      </c>
      <c r="G284" s="36">
        <v>7</v>
      </c>
      <c r="H284" s="37">
        <v>0.48958333333333298</v>
      </c>
      <c r="I284" s="43">
        <v>550</v>
      </c>
      <c r="J284" s="43">
        <v>2</v>
      </c>
      <c r="K284" s="43"/>
      <c r="L284" s="438">
        <f>IF($I284&lt;192,0,IF($I284&gt;597,0, IF(VLOOKUP($I284,'CIRS Table Info'!$B$6:$J$425,3,FALSE)="Co-Add", 0.5,1) * (400 + IF(VLOOKUP($I284,'CIRS Table Info'!$B$6:$J$425,5,FALSE)="Data",1800,0) + IF(VLOOKUP($I284,'CIRS Table Info'!$B$6:$J$425,7,FALSE)="Data",1800,0) )))</f>
        <v>2200</v>
      </c>
      <c r="M284" s="438">
        <f>VLOOKUP($B284,'CIRS Table IDs'!$B$6:$M$1001,12,FALSE)</f>
        <v>2200</v>
      </c>
      <c r="N284" s="436" t="str">
        <f t="shared" si="13"/>
        <v/>
      </c>
      <c r="Q284" s="49"/>
      <c r="R284" s="49"/>
      <c r="S284" s="49"/>
      <c r="T284" s="49"/>
    </row>
    <row r="285" spans="1:20" x14ac:dyDescent="0.2">
      <c r="A285" s="21"/>
      <c r="B285" s="45" t="s">
        <v>154</v>
      </c>
      <c r="C285" s="40">
        <v>2017</v>
      </c>
      <c r="D285" s="40">
        <f>IF(H284&gt;=$E463,G284,G284-1)</f>
        <v>7</v>
      </c>
      <c r="E285" s="37">
        <f>IF(H284-$E463&gt;0,H284-$E463,H284-$E463+$E469)</f>
        <v>0.48888888888888854</v>
      </c>
      <c r="F285" s="40">
        <v>2017</v>
      </c>
      <c r="G285" s="40">
        <v>7</v>
      </c>
      <c r="H285" s="37">
        <v>0.48958333333333298</v>
      </c>
      <c r="I285" s="43">
        <v>602</v>
      </c>
      <c r="J285" s="43">
        <f>IF(I285=50,10,1)</f>
        <v>1</v>
      </c>
      <c r="K285" s="43"/>
      <c r="L285" s="438">
        <f>IF($I285&lt;192,0,IF($I285&gt;597,0, IF(VLOOKUP($I285,'CIRS Table Info'!$B$6:$J$425,3,FALSE)="Co-Add", 0.5,1) * (400 + IF(VLOOKUP($I285,'CIRS Table Info'!$B$6:$J$425,5,FALSE)="Data",1800,0) + IF(VLOOKUP($I285,'CIRS Table Info'!$B$6:$J$425,7,FALSE)="Data",1800,0) )))</f>
        <v>0</v>
      </c>
      <c r="M285" s="438">
        <f>VLOOKUP($B285,'CIRS Table IDs'!$B$6:$M$1001,12,FALSE)</f>
        <v>0</v>
      </c>
      <c r="N285" s="436" t="str">
        <f t="shared" si="13"/>
        <v/>
      </c>
      <c r="Q285" s="49"/>
      <c r="R285" s="49"/>
      <c r="S285" s="49"/>
      <c r="T285" s="49"/>
    </row>
    <row r="286" spans="1:20" x14ac:dyDescent="0.2">
      <c r="A286" s="21">
        <v>115</v>
      </c>
      <c r="B286" s="45" t="s">
        <v>543</v>
      </c>
      <c r="C286" s="36">
        <v>2017</v>
      </c>
      <c r="D286" s="36">
        <v>7</v>
      </c>
      <c r="E286" s="37">
        <v>0.48958333333333298</v>
      </c>
      <c r="F286" s="36">
        <f>IF($G286&gt;=$D286,$C286,$C286+1)</f>
        <v>2017</v>
      </c>
      <c r="G286" s="36">
        <f>IF(MOD($C$5,4)&lt;&gt;0,IF($D286+IF($H286&gt;=$E286,0,IF($H286+$E469&gt;=$E286,1,2))&gt;365,1,$D286+IF($H286&gt;=$E286,0,IF($H286+$E469&gt;=$E286,1,2))),IF($D286+IF($H286&gt;=$E286,0,IF($H286+$E469&gt;=$E286,1,2))&gt;366,1,$D286+IF($H286&gt;=$E286,0,IF($H286+$E469&gt;=$E286,1,2))))</f>
        <v>7</v>
      </c>
      <c r="H286" s="37">
        <f>IF(E286 + TIMEVALUE("00:04:50")&gt;=1,E286 + TIMEVALUE("00:04:50")-1,E286 + TIMEVALUE("00:04:50"))</f>
        <v>0.49293981481481447</v>
      </c>
      <c r="I286" s="496">
        <v>228</v>
      </c>
      <c r="J286" s="43">
        <v>1</v>
      </c>
      <c r="K286" s="43"/>
      <c r="L286" s="438">
        <f>IF($I286&lt;192,0,IF($I286&gt;597,0, IF(VLOOKUP($I286,'CIRS Table Info'!$B$6:$J$425,3,FALSE)="Co-Add", 0.5,1) * (400 + IF(VLOOKUP($I286,'CIRS Table Info'!$B$6:$J$425,5,FALSE)="Data",1800,0) + IF(VLOOKUP($I286,'CIRS Table Info'!$B$6:$J$425,7,FALSE)="Data",1800,0) )))</f>
        <v>2200</v>
      </c>
      <c r="M286" s="438">
        <f>VLOOKUP($B286,'CIRS Table IDs'!$B$6:$M$1001,12,FALSE)</f>
        <v>2200</v>
      </c>
      <c r="N286" s="436" t="str">
        <f t="shared" si="13"/>
        <v/>
      </c>
      <c r="Q286" s="49"/>
      <c r="R286" s="49"/>
      <c r="S286" s="49"/>
      <c r="T286" s="49"/>
    </row>
    <row r="287" spans="1:20" x14ac:dyDescent="0.2">
      <c r="A287" s="21"/>
      <c r="B287" s="45" t="s">
        <v>543</v>
      </c>
      <c r="C287" s="36">
        <f>$F286</f>
        <v>2017</v>
      </c>
      <c r="D287" s="36">
        <f>$G286</f>
        <v>7</v>
      </c>
      <c r="E287" s="37">
        <f>IF(E286 + TIMEVALUE("00:04:50")&gt;=1,E286 + TIMEVALUE("00:04:50")-1,E286 + TIMEVALUE("00:04:50"))</f>
        <v>0.49293981481481447</v>
      </c>
      <c r="F287" s="36">
        <f>IF($G287&gt;=$D287,$C287,$C287+1)</f>
        <v>2017</v>
      </c>
      <c r="G287" s="36">
        <f>IF(MOD($C$5,4)&lt;&gt;0,IF($D287+IF($H287&gt;=$E287,0,IF($H287+$E469&gt;=$E287,1,2))&gt;365,1,$D287+IF($H287&gt;=$E287,0,IF($H287+$E469&gt;=$E287,1,2))),IF($D287+IF($H287&gt;=$E287,0,IF($H287+$E469&gt;=$E287,1,2))&gt;366,1,$D287+IF($H287&gt;=$E287,0,IF($H287+$E469&gt;=$E287,1,2))))</f>
        <v>7</v>
      </c>
      <c r="H287" s="37">
        <f>IF(E286 + TIMEVALUE("02:57:35")&gt;=1,E286 + TIMEVALUE("02:57:35")-1,E286 + TIMEVALUE("02:57:35"))</f>
        <v>0.61290509259259229</v>
      </c>
      <c r="I287" s="496">
        <v>225</v>
      </c>
      <c r="J287" s="43">
        <v>1</v>
      </c>
      <c r="K287" s="43"/>
      <c r="L287" s="438">
        <f>IF($I287&lt;192,0,IF($I287&gt;597,0, IF(VLOOKUP($I287,'CIRS Table Info'!$B$6:$J$425,3,FALSE)="Co-Add", 0.5,1) * (400 + IF(VLOOKUP($I287,'CIRS Table Info'!$B$6:$J$425,5,FALSE)="Data",1800,0) + IF(VLOOKUP($I287,'CIRS Table Info'!$B$6:$J$425,7,FALSE)="Data",1800,0) )))</f>
        <v>2200</v>
      </c>
      <c r="M287" s="438">
        <f>VLOOKUP($B287,'CIRS Table IDs'!$B$6:$M$1001,12,FALSE)</f>
        <v>2200</v>
      </c>
      <c r="N287" s="436" t="str">
        <f t="shared" si="13"/>
        <v/>
      </c>
      <c r="Q287" s="49"/>
      <c r="R287" s="49"/>
      <c r="S287" s="49"/>
      <c r="T287" s="49"/>
    </row>
    <row r="288" spans="1:20" x14ac:dyDescent="0.2">
      <c r="A288" s="21"/>
      <c r="B288" s="45" t="s">
        <v>543</v>
      </c>
      <c r="C288" s="36">
        <f>$F287</f>
        <v>2017</v>
      </c>
      <c r="D288" s="36">
        <f>$G287</f>
        <v>7</v>
      </c>
      <c r="E288" s="37">
        <f>IF(E286 + TIMEVALUE("02:57:35")&gt;=1,E286 + TIMEVALUE("02:57:35")-1,E286 + TIMEVALUE("02:57:35"))</f>
        <v>0.61290509259259229</v>
      </c>
      <c r="F288" s="36">
        <f>IF($G288&gt;=$D288,$C288,$C288+1)</f>
        <v>2017</v>
      </c>
      <c r="G288" s="36">
        <f>IF(MOD($C$5,4)&lt;&gt;0,IF($D288+IF($H288&gt;=$E288,0,IF($H288+$E469&gt;=$E288,1,2))&gt;365,1,$D288+IF($H288&gt;=$E288,0,IF($H288+$E469&gt;=$E288,1,2))),IF($D288+IF($H288&gt;=$E288,0,IF($H288+$E469&gt;=$E288,1,2))&gt;366,1,$D288+IF($H288&gt;=$E288,0,IF($H288+$E469&gt;=$E288,1,2))))</f>
        <v>7</v>
      </c>
      <c r="H288" s="37">
        <f>IF(E286 + TIMEVALUE("03:02:25")&gt;=1,E286 + TIMEVALUE("03:02:25")-1,E286 + TIMEVALUE("03:02:25"))</f>
        <v>0.61626157407407378</v>
      </c>
      <c r="I288" s="496">
        <v>228</v>
      </c>
      <c r="J288" s="43">
        <v>1</v>
      </c>
      <c r="K288" s="43"/>
      <c r="L288" s="438">
        <f>IF($I288&lt;192,0,IF($I288&gt;597,0, IF(VLOOKUP($I288,'CIRS Table Info'!$B$6:$J$425,3,FALSE)="Co-Add", 0.5,1) * (400 + IF(VLOOKUP($I288,'CIRS Table Info'!$B$6:$J$425,5,FALSE)="Data",1800,0) + IF(VLOOKUP($I288,'CIRS Table Info'!$B$6:$J$425,7,FALSE)="Data",1800,0) )))</f>
        <v>2200</v>
      </c>
      <c r="M288" s="438">
        <f>VLOOKUP($B288,'CIRS Table IDs'!$B$6:$M$1001,12,FALSE)</f>
        <v>2200</v>
      </c>
      <c r="N288" s="436" t="str">
        <f t="shared" si="13"/>
        <v/>
      </c>
      <c r="Q288" s="49"/>
      <c r="R288" s="49"/>
      <c r="S288" s="49"/>
      <c r="T288" s="49"/>
    </row>
    <row r="289" spans="1:20" x14ac:dyDescent="0.2">
      <c r="A289" s="21"/>
      <c r="B289" s="45" t="s">
        <v>543</v>
      </c>
      <c r="C289" s="36">
        <f>$F288</f>
        <v>2017</v>
      </c>
      <c r="D289" s="36">
        <f>$G288</f>
        <v>7</v>
      </c>
      <c r="E289" s="37">
        <f>IF(E286 + TIMEVALUE("03:02:25")&gt;=1,E286 + TIMEVALUE("03:02:25")-1,E286 + TIMEVALUE("03:02:25"))</f>
        <v>0.61626157407407378</v>
      </c>
      <c r="F289" s="36">
        <f>IF($G289&gt;=$D289,$C289,$C289+1)</f>
        <v>2017</v>
      </c>
      <c r="G289" s="36">
        <f>IF(0.739583333333333 - TIMEVALUE("00:05:50")&gt;=0, 7, 6)</f>
        <v>7</v>
      </c>
      <c r="H289" s="37">
        <f>IF(0.739583333333333 - TIMEVALUE("00:05:50")&gt;=0, 0.739583333333333 - TIMEVALUE("00:05:50"), 0.739583333333333 - TIMEVALUE("00:05:50") +$E469)</f>
        <v>0.73553240740740711</v>
      </c>
      <c r="I289" s="496">
        <v>225</v>
      </c>
      <c r="J289" s="43">
        <v>1</v>
      </c>
      <c r="K289" s="43"/>
      <c r="L289" s="438">
        <f>IF($I289&lt;192,0,IF($I289&gt;597,0, IF(VLOOKUP($I289,'CIRS Table Info'!$B$6:$J$425,3,FALSE)="Co-Add", 0.5,1) * (400 + IF(VLOOKUP($I289,'CIRS Table Info'!$B$6:$J$425,5,FALSE)="Data",1800,0) + IF(VLOOKUP($I289,'CIRS Table Info'!$B$6:$J$425,7,FALSE)="Data",1800,0) )))</f>
        <v>2200</v>
      </c>
      <c r="M289" s="438">
        <f>VLOOKUP($B289,'CIRS Table IDs'!$B$6:$M$1001,12,FALSE)</f>
        <v>2200</v>
      </c>
      <c r="N289" s="436" t="str">
        <f t="shared" si="13"/>
        <v/>
      </c>
      <c r="Q289" s="49"/>
      <c r="R289" s="49"/>
      <c r="S289" s="49"/>
      <c r="T289" s="49"/>
    </row>
    <row r="290" spans="1:20" x14ac:dyDescent="0.2">
      <c r="A290" s="21"/>
      <c r="B290" s="45" t="s">
        <v>543</v>
      </c>
      <c r="C290" s="36">
        <f>$F289</f>
        <v>2017</v>
      </c>
      <c r="D290" s="36">
        <f>$G289</f>
        <v>7</v>
      </c>
      <c r="E290" s="37">
        <f>IF(0.739583333333333 - TIMEVALUE("00:05:50")&gt;=0, 0.739583333333333 - TIMEVALUE("00:05:50"), 0.739583333333333 - TIMEVALUE("00:05:50") +$E469)</f>
        <v>0.73553240740740711</v>
      </c>
      <c r="F290" s="36">
        <f>IF($G290&gt;=$D290,$C290,$C290+1)</f>
        <v>2017</v>
      </c>
      <c r="G290" s="36">
        <v>7</v>
      </c>
      <c r="H290" s="37">
        <v>0.73958333333333304</v>
      </c>
      <c r="I290" s="496">
        <v>228</v>
      </c>
      <c r="J290" s="43">
        <v>1</v>
      </c>
      <c r="K290" s="43"/>
      <c r="L290" s="438">
        <f>IF($I290&lt;192,0,IF($I290&gt;597,0, IF(VLOOKUP($I290,'CIRS Table Info'!$B$6:$J$425,3,FALSE)="Co-Add", 0.5,1) * (400 + IF(VLOOKUP($I290,'CIRS Table Info'!$B$6:$J$425,5,FALSE)="Data",1800,0) + IF(VLOOKUP($I290,'CIRS Table Info'!$B$6:$J$425,7,FALSE)="Data",1800,0) )))</f>
        <v>2200</v>
      </c>
      <c r="M290" s="438">
        <f>VLOOKUP($B290,'CIRS Table IDs'!$B$6:$M$1001,12,FALSE)</f>
        <v>2200</v>
      </c>
      <c r="N290" s="436" t="str">
        <f t="shared" si="13"/>
        <v/>
      </c>
      <c r="Q290" s="49"/>
      <c r="R290" s="49"/>
      <c r="S290" s="49"/>
      <c r="T290" s="49"/>
    </row>
    <row r="291" spans="1:20" x14ac:dyDescent="0.2">
      <c r="A291" s="21"/>
      <c r="B291" s="45" t="s">
        <v>155</v>
      </c>
      <c r="C291" s="36">
        <v>2017</v>
      </c>
      <c r="D291" s="36">
        <f>IF(H290&gt;=$E463,G290,G290-1)</f>
        <v>7</v>
      </c>
      <c r="E291" s="37">
        <f>IF(H290-$E463&gt;0,H290-$E463,H290-$E463+$E469)</f>
        <v>0.7388888888888886</v>
      </c>
      <c r="F291" s="40">
        <v>2017</v>
      </c>
      <c r="G291" s="40">
        <v>7</v>
      </c>
      <c r="H291" s="37">
        <v>0.73958333333333304</v>
      </c>
      <c r="I291" s="43">
        <v>600</v>
      </c>
      <c r="J291" s="43">
        <f>IF(I291=50,10,1)</f>
        <v>1</v>
      </c>
      <c r="K291" s="43"/>
      <c r="L291" s="438">
        <f>IF($I291&lt;192,0,IF($I291&gt;597,0, IF(VLOOKUP($I291,'CIRS Table Info'!$B$6:$J$425,3,FALSE)="Co-Add", 0.5,1) * (400 + IF(VLOOKUP($I291,'CIRS Table Info'!$B$6:$J$425,5,FALSE)="Data",1800,0) + IF(VLOOKUP($I291,'CIRS Table Info'!$B$6:$J$425,7,FALSE)="Data",1800,0) )))</f>
        <v>0</v>
      </c>
      <c r="M291" s="438">
        <f>VLOOKUP($B291,'CIRS Table IDs'!$B$6:$M$1001,12,FALSE)</f>
        <v>0</v>
      </c>
      <c r="N291" s="436" t="str">
        <f t="shared" si="13"/>
        <v/>
      </c>
      <c r="Q291" s="49"/>
      <c r="R291" s="49"/>
      <c r="S291" s="49"/>
      <c r="T291" s="49"/>
    </row>
    <row r="292" spans="1:20" x14ac:dyDescent="0.2">
      <c r="A292" s="21">
        <v>116</v>
      </c>
      <c r="B292" s="45" t="s">
        <v>546</v>
      </c>
      <c r="C292" s="36">
        <v>2017</v>
      </c>
      <c r="D292" s="36">
        <v>7</v>
      </c>
      <c r="E292" s="37">
        <v>0.73958333333333304</v>
      </c>
      <c r="F292" s="36">
        <v>2017</v>
      </c>
      <c r="G292" s="36">
        <v>8</v>
      </c>
      <c r="H292" s="37">
        <v>0.39583333333333298</v>
      </c>
      <c r="I292" s="43">
        <v>192</v>
      </c>
      <c r="J292" s="43">
        <v>1</v>
      </c>
      <c r="K292" s="43"/>
      <c r="L292" s="438">
        <f>IF($I292&lt;192,0,IF($I292&gt;597,0, IF(VLOOKUP($I292,'CIRS Table Info'!$B$6:$J$425,3,FALSE)="Co-Add", 0.5,1) * (400 + IF(VLOOKUP($I292,'CIRS Table Info'!$B$6:$J$425,5,FALSE)="Data",1800,0) + IF(VLOOKUP($I292,'CIRS Table Info'!$B$6:$J$425,7,FALSE)="Data",1800,0) )))</f>
        <v>400</v>
      </c>
      <c r="M292" s="438">
        <f>VLOOKUP($B292,'CIRS Table IDs'!$B$6:$M$1001,12,FALSE)</f>
        <v>400</v>
      </c>
      <c r="N292" s="436" t="str">
        <f t="shared" si="13"/>
        <v/>
      </c>
      <c r="Q292" s="49"/>
      <c r="R292" s="49"/>
      <c r="S292" s="49"/>
      <c r="T292" s="49"/>
    </row>
    <row r="293" spans="1:20" x14ac:dyDescent="0.2">
      <c r="A293" s="21"/>
      <c r="B293" s="45" t="s">
        <v>156</v>
      </c>
      <c r="C293" s="40">
        <v>2017</v>
      </c>
      <c r="D293" s="40">
        <f>IF(H292&gt;=$E463,G292,G292-1)</f>
        <v>8</v>
      </c>
      <c r="E293" s="37">
        <f>IF(H292-$E463&gt;0,H292-$E463,H292-$E463+$E469)</f>
        <v>0.39513888888888854</v>
      </c>
      <c r="F293" s="40">
        <v>2017</v>
      </c>
      <c r="G293" s="40">
        <v>8</v>
      </c>
      <c r="H293" s="37">
        <v>0.39583333333333298</v>
      </c>
      <c r="I293" s="43">
        <v>600</v>
      </c>
      <c r="J293" s="43">
        <f>IF(I293=50,10,1)</f>
        <v>1</v>
      </c>
      <c r="K293" s="43"/>
      <c r="L293" s="438">
        <f>IF($I293&lt;192,0,IF($I293&gt;597,0, IF(VLOOKUP($I293,'CIRS Table Info'!$B$6:$J$425,3,FALSE)="Co-Add", 0.5,1) * (400 + IF(VLOOKUP($I293,'CIRS Table Info'!$B$6:$J$425,5,FALSE)="Data",1800,0) + IF(VLOOKUP($I293,'CIRS Table Info'!$B$6:$J$425,7,FALSE)="Data",1800,0) )))</f>
        <v>0</v>
      </c>
      <c r="M293" s="438">
        <f>VLOOKUP($B293,'CIRS Table IDs'!$B$6:$M$1001,12,FALSE)</f>
        <v>0</v>
      </c>
      <c r="N293" s="436" t="str">
        <f t="shared" si="13"/>
        <v/>
      </c>
      <c r="Q293" s="49"/>
      <c r="R293" s="49"/>
      <c r="S293" s="49"/>
      <c r="T293" s="49"/>
    </row>
    <row r="294" spans="1:20" x14ac:dyDescent="0.2">
      <c r="A294" s="21">
        <v>117</v>
      </c>
      <c r="B294" s="45" t="s">
        <v>547</v>
      </c>
      <c r="C294" s="36">
        <v>2017</v>
      </c>
      <c r="D294" s="36">
        <v>8</v>
      </c>
      <c r="E294" s="37">
        <v>0.39583333333333298</v>
      </c>
      <c r="F294" s="36">
        <v>2017</v>
      </c>
      <c r="G294" s="36">
        <v>8</v>
      </c>
      <c r="H294" s="37">
        <v>0.43055555555555602</v>
      </c>
      <c r="I294" s="43">
        <v>350</v>
      </c>
      <c r="J294" s="43">
        <v>1</v>
      </c>
      <c r="K294" s="43"/>
      <c r="L294" s="438">
        <f>IF($I294&lt;192,0,IF($I294&gt;597,0, IF(VLOOKUP($I294,'CIRS Table Info'!$B$6:$J$425,3,FALSE)="Co-Add", 0.5,1) * (400 + IF(VLOOKUP($I294,'CIRS Table Info'!$B$6:$J$425,5,FALSE)="Data",1800,0) + IF(VLOOKUP($I294,'CIRS Table Info'!$B$6:$J$425,7,FALSE)="Data",1800,0) )))</f>
        <v>2200</v>
      </c>
      <c r="M294" s="438">
        <f>VLOOKUP($B294,'CIRS Table IDs'!$B$6:$M$1001,12,FALSE)</f>
        <v>2200</v>
      </c>
      <c r="N294" s="436" t="str">
        <f t="shared" si="13"/>
        <v/>
      </c>
      <c r="Q294" s="49"/>
      <c r="R294" s="49"/>
      <c r="S294" s="49"/>
      <c r="T294" s="49"/>
    </row>
    <row r="295" spans="1:20" x14ac:dyDescent="0.2">
      <c r="A295" s="21"/>
      <c r="B295" s="45" t="s">
        <v>157</v>
      </c>
      <c r="C295" s="40">
        <v>2017</v>
      </c>
      <c r="D295" s="40">
        <f>IF(H294&gt;=$E463,G294,G294-1)</f>
        <v>8</v>
      </c>
      <c r="E295" s="37">
        <f>IF(H294-$E463&gt;0,H294-$E463,H294-$E463+$E469)</f>
        <v>0.42986111111111158</v>
      </c>
      <c r="F295" s="40">
        <v>2017</v>
      </c>
      <c r="G295" s="40">
        <v>8</v>
      </c>
      <c r="H295" s="37">
        <v>0.55138888888888904</v>
      </c>
      <c r="I295" s="43">
        <v>50</v>
      </c>
      <c r="J295" s="43">
        <f>IF(I295=50,10,1)</f>
        <v>10</v>
      </c>
      <c r="K295" s="43"/>
      <c r="L295" s="438">
        <f>IF($I295&lt;192,0,IF($I295&gt;597,0, IF(VLOOKUP($I295,'CIRS Table Info'!$B$6:$J$425,3,FALSE)="Co-Add", 0.5,1) * (400 + IF(VLOOKUP($I295,'CIRS Table Info'!$B$6:$J$425,5,FALSE)="Data",1800,0) + IF(VLOOKUP($I295,'CIRS Table Info'!$B$6:$J$425,7,FALSE)="Data",1800,0) )))</f>
        <v>0</v>
      </c>
      <c r="M295" s="438">
        <f>VLOOKUP($B295,'CIRS Table IDs'!$B$6:$M$1001,12,FALSE)</f>
        <v>0</v>
      </c>
      <c r="N295" s="436" t="str">
        <f t="shared" si="13"/>
        <v/>
      </c>
      <c r="Q295" s="49"/>
      <c r="R295" s="49"/>
      <c r="S295" s="49"/>
      <c r="T295" s="49"/>
    </row>
    <row r="296" spans="1:20" x14ac:dyDescent="0.2">
      <c r="A296" s="21">
        <v>118</v>
      </c>
      <c r="B296" s="45" t="s">
        <v>548</v>
      </c>
      <c r="C296" s="36">
        <v>2017</v>
      </c>
      <c r="D296" s="36">
        <v>8</v>
      </c>
      <c r="E296" s="37">
        <v>0.55138888888888904</v>
      </c>
      <c r="F296" s="36">
        <v>2017</v>
      </c>
      <c r="G296" s="36">
        <v>8</v>
      </c>
      <c r="H296" s="37">
        <v>0.88472222222222197</v>
      </c>
      <c r="I296" s="43">
        <v>867</v>
      </c>
      <c r="J296" s="43">
        <f>IF(I296=50,10,1)</f>
        <v>1</v>
      </c>
      <c r="K296" s="43"/>
      <c r="L296" s="438">
        <f>IF($I296&lt;192,0,IF($I296&gt;597,0, IF(VLOOKUP($I296,'CIRS Table Info'!$B$6:$J$425,3,FALSE)="Co-Add", 0.5,1) * (400 + IF(VLOOKUP($I296,'CIRS Table Info'!$B$6:$J$425,5,FALSE)="Data",1800,0) + IF(VLOOKUP($I296,'CIRS Table Info'!$B$6:$J$425,7,FALSE)="Data",1800,0) )))</f>
        <v>0</v>
      </c>
      <c r="M296" s="438">
        <f>VLOOKUP($B296,'CIRS Table IDs'!$B$6:$M$1001,12,FALSE)</f>
        <v>3000</v>
      </c>
      <c r="N296" s="436" t="str">
        <f t="shared" si="13"/>
        <v/>
      </c>
      <c r="Q296" s="49"/>
      <c r="R296" s="49"/>
      <c r="S296" s="49"/>
      <c r="T296" s="49"/>
    </row>
    <row r="297" spans="1:20" x14ac:dyDescent="0.2">
      <c r="A297" s="21"/>
      <c r="B297" s="45" t="s">
        <v>158</v>
      </c>
      <c r="C297" s="40">
        <v>2017</v>
      </c>
      <c r="D297" s="40">
        <f>IF(H296&gt;=$E463,G296,G296-1)</f>
        <v>8</v>
      </c>
      <c r="E297" s="37">
        <f>IF(H296-$E463&gt;0,H296-$E463,H296-$E463+$E469)</f>
        <v>0.88402777777777752</v>
      </c>
      <c r="F297" s="40">
        <v>2017</v>
      </c>
      <c r="G297" s="40">
        <v>8</v>
      </c>
      <c r="H297" s="37">
        <v>0.98819444444444404</v>
      </c>
      <c r="I297" s="43">
        <v>600</v>
      </c>
      <c r="J297" s="43">
        <f>IF(I297=50,10,1)</f>
        <v>1</v>
      </c>
      <c r="K297" s="43"/>
      <c r="L297" s="438">
        <f>IF($I297&lt;192,0,IF($I297&gt;597,0, IF(VLOOKUP($I297,'CIRS Table Info'!$B$6:$J$425,3,FALSE)="Co-Add", 0.5,1) * (400 + IF(VLOOKUP($I297,'CIRS Table Info'!$B$6:$J$425,5,FALSE)="Data",1800,0) + IF(VLOOKUP($I297,'CIRS Table Info'!$B$6:$J$425,7,FALSE)="Data",1800,0) )))</f>
        <v>0</v>
      </c>
      <c r="M297" s="438">
        <f>VLOOKUP($B297,'CIRS Table IDs'!$B$6:$M$1001,12,FALSE)</f>
        <v>0</v>
      </c>
      <c r="N297" s="436" t="str">
        <f t="shared" si="13"/>
        <v/>
      </c>
      <c r="Q297" s="49"/>
      <c r="R297" s="49"/>
      <c r="S297" s="49"/>
      <c r="T297" s="49"/>
    </row>
    <row r="298" spans="1:20" x14ac:dyDescent="0.2">
      <c r="A298" s="21">
        <v>119</v>
      </c>
      <c r="B298" s="45" t="s">
        <v>549</v>
      </c>
      <c r="C298" s="36">
        <v>2017</v>
      </c>
      <c r="D298" s="36">
        <v>8</v>
      </c>
      <c r="E298" s="37">
        <v>0.98819444444444404</v>
      </c>
      <c r="F298" s="36">
        <v>2017</v>
      </c>
      <c r="G298" s="36">
        <v>9</v>
      </c>
      <c r="H298" s="37">
        <v>2.1527777777777798E-2</v>
      </c>
      <c r="I298" s="43">
        <v>192</v>
      </c>
      <c r="J298" s="43">
        <v>1</v>
      </c>
      <c r="K298" s="43"/>
      <c r="L298" s="438">
        <f>IF($I298&lt;192,0,IF($I298&gt;597,0, IF(VLOOKUP($I298,'CIRS Table Info'!$B$6:$J$425,3,FALSE)="Co-Add", 0.5,1) * (400 + IF(VLOOKUP($I298,'CIRS Table Info'!$B$6:$J$425,5,FALSE)="Data",1800,0) + IF(VLOOKUP($I298,'CIRS Table Info'!$B$6:$J$425,7,FALSE)="Data",1800,0) )))</f>
        <v>400</v>
      </c>
      <c r="M298" s="438">
        <f>VLOOKUP($B298,'CIRS Table IDs'!$B$6:$M$1001,12,FALSE)</f>
        <v>400</v>
      </c>
      <c r="N298" s="436" t="str">
        <f t="shared" si="13"/>
        <v/>
      </c>
      <c r="Q298" s="49"/>
      <c r="R298" s="49"/>
      <c r="S298" s="49"/>
      <c r="T298" s="49"/>
    </row>
    <row r="299" spans="1:20" x14ac:dyDescent="0.2">
      <c r="A299" s="21"/>
      <c r="B299" s="45" t="s">
        <v>159</v>
      </c>
      <c r="C299" s="40">
        <v>2017</v>
      </c>
      <c r="D299" s="40">
        <f>IF(H298&gt;=$E463,G298,G298-1)</f>
        <v>9</v>
      </c>
      <c r="E299" s="37">
        <f>IF(H298-$E463&gt;0,H298-$E463,H298-$E463+$E469)</f>
        <v>2.0833333333333353E-2</v>
      </c>
      <c r="F299" s="40">
        <v>2017</v>
      </c>
      <c r="G299" s="40">
        <v>9</v>
      </c>
      <c r="H299" s="37">
        <v>6.31944444444444E-2</v>
      </c>
      <c r="I299" s="43">
        <v>600</v>
      </c>
      <c r="J299" s="43">
        <f>IF(I299=50,10,1)</f>
        <v>1</v>
      </c>
      <c r="K299" s="43"/>
      <c r="L299" s="438">
        <f>IF($I299&lt;192,0,IF($I299&gt;597,0, IF(VLOOKUP($I299,'CIRS Table Info'!$B$6:$J$425,3,FALSE)="Co-Add", 0.5,1) * (400 + IF(VLOOKUP($I299,'CIRS Table Info'!$B$6:$J$425,5,FALSE)="Data",1800,0) + IF(VLOOKUP($I299,'CIRS Table Info'!$B$6:$J$425,7,FALSE)="Data",1800,0) )))</f>
        <v>0</v>
      </c>
      <c r="M299" s="438">
        <f>VLOOKUP($B299,'CIRS Table IDs'!$B$6:$M$1001,12,FALSE)</f>
        <v>0</v>
      </c>
      <c r="N299" s="436" t="str">
        <f t="shared" si="13"/>
        <v/>
      </c>
      <c r="Q299" s="49"/>
      <c r="R299" s="49"/>
      <c r="S299" s="49"/>
      <c r="T299" s="49"/>
    </row>
    <row r="300" spans="1:20" x14ac:dyDescent="0.2">
      <c r="A300" s="21">
        <v>120</v>
      </c>
      <c r="B300" s="45" t="s">
        <v>550</v>
      </c>
      <c r="C300" s="36">
        <v>2017</v>
      </c>
      <c r="D300" s="36">
        <v>9</v>
      </c>
      <c r="E300" s="37">
        <v>6.31944444444444E-2</v>
      </c>
      <c r="F300" s="36">
        <v>2017</v>
      </c>
      <c r="G300" s="36">
        <v>9</v>
      </c>
      <c r="H300" s="37">
        <v>0.14583333333333301</v>
      </c>
      <c r="I300" s="43">
        <v>400</v>
      </c>
      <c r="J300" s="43">
        <v>1</v>
      </c>
      <c r="K300" s="43"/>
      <c r="L300" s="438">
        <f>IF($I300&lt;192,0,IF($I300&gt;597,0, IF(VLOOKUP($I300,'CIRS Table Info'!$B$6:$J$425,3,FALSE)="Co-Add", 0.5,1) * (400 + IF(VLOOKUP($I300,'CIRS Table Info'!$B$6:$J$425,5,FALSE)="Data",1800,0) + IF(VLOOKUP($I300,'CIRS Table Info'!$B$6:$J$425,7,FALSE)="Data",1800,0) )))</f>
        <v>2200</v>
      </c>
      <c r="M300" s="438">
        <f>VLOOKUP($B300,'CIRS Table IDs'!$B$6:$M$1001,12,FALSE)</f>
        <v>2200</v>
      </c>
      <c r="N300" s="436" t="str">
        <f t="shared" si="13"/>
        <v/>
      </c>
      <c r="Q300" s="49"/>
      <c r="R300" s="49"/>
      <c r="S300" s="49"/>
      <c r="T300" s="49"/>
    </row>
    <row r="301" spans="1:20" x14ac:dyDescent="0.2">
      <c r="A301" s="21"/>
      <c r="B301" s="45" t="s">
        <v>160</v>
      </c>
      <c r="C301" s="40">
        <v>2017</v>
      </c>
      <c r="D301" s="40">
        <f>IF(H300&gt;=$E463,G300,G300-1)</f>
        <v>9</v>
      </c>
      <c r="E301" s="37">
        <f>IF(H300-$E463&gt;0,H300-$E463,H300-$E463+$E469)</f>
        <v>0.14513888888888857</v>
      </c>
      <c r="F301" s="40">
        <v>2017</v>
      </c>
      <c r="G301" s="40">
        <v>9</v>
      </c>
      <c r="H301" s="37">
        <v>0.14583333333333301</v>
      </c>
      <c r="I301" s="43">
        <v>600</v>
      </c>
      <c r="J301" s="43">
        <f>IF(I301=50,10,1)</f>
        <v>1</v>
      </c>
      <c r="K301" s="43"/>
      <c r="L301" s="438">
        <f>IF($I301&lt;192,0,IF($I301&gt;597,0, IF(VLOOKUP($I301,'CIRS Table Info'!$B$6:$J$425,3,FALSE)="Co-Add", 0.5,1) * (400 + IF(VLOOKUP($I301,'CIRS Table Info'!$B$6:$J$425,5,FALSE)="Data",1800,0) + IF(VLOOKUP($I301,'CIRS Table Info'!$B$6:$J$425,7,FALSE)="Data",1800,0) )))</f>
        <v>0</v>
      </c>
      <c r="M301" s="438">
        <f>VLOOKUP($B301,'CIRS Table IDs'!$B$6:$M$1001,12,FALSE)</f>
        <v>0</v>
      </c>
      <c r="N301" s="436" t="str">
        <f t="shared" si="13"/>
        <v/>
      </c>
      <c r="Q301" s="49"/>
      <c r="R301" s="49"/>
      <c r="S301" s="49"/>
      <c r="T301" s="49"/>
    </row>
    <row r="302" spans="1:20" x14ac:dyDescent="0.2">
      <c r="A302" s="21">
        <v>121</v>
      </c>
      <c r="B302" s="45" t="s">
        <v>551</v>
      </c>
      <c r="C302" s="36">
        <v>2017</v>
      </c>
      <c r="D302" s="36">
        <v>9</v>
      </c>
      <c r="E302" s="37">
        <v>0.14583333333333301</v>
      </c>
      <c r="F302" s="36">
        <v>2017</v>
      </c>
      <c r="G302" s="36">
        <v>9</v>
      </c>
      <c r="H302" s="37">
        <v>0.25</v>
      </c>
      <c r="I302" s="43">
        <v>450</v>
      </c>
      <c r="J302" s="43">
        <v>1</v>
      </c>
      <c r="K302" s="43"/>
      <c r="L302" s="438">
        <f>IF($I302&lt;192,0,IF($I302&gt;597,0, IF(VLOOKUP($I302,'CIRS Table Info'!$B$6:$J$425,3,FALSE)="Co-Add", 0.5,1) * (400 + IF(VLOOKUP($I302,'CIRS Table Info'!$B$6:$J$425,5,FALSE)="Data",1800,0) + IF(VLOOKUP($I302,'CIRS Table Info'!$B$6:$J$425,7,FALSE)="Data",1800,0) )))</f>
        <v>2200</v>
      </c>
      <c r="M302" s="438">
        <f>VLOOKUP($B302,'CIRS Table IDs'!$B$6:$M$1001,12,FALSE)</f>
        <v>2200</v>
      </c>
      <c r="N302" s="436" t="str">
        <f t="shared" si="13"/>
        <v/>
      </c>
      <c r="Q302" s="49"/>
      <c r="R302" s="49"/>
      <c r="S302" s="49"/>
      <c r="T302" s="49"/>
    </row>
    <row r="303" spans="1:20" x14ac:dyDescent="0.2">
      <c r="A303" s="21"/>
      <c r="B303" s="45" t="s">
        <v>161</v>
      </c>
      <c r="C303" s="40">
        <v>2017</v>
      </c>
      <c r="D303" s="40">
        <f>IF(H302&gt;=$E463,G302,G302-1)</f>
        <v>9</v>
      </c>
      <c r="E303" s="37">
        <f>IF(H302-$E463&gt;0,H302-$E463,H302-$E463+$E469)</f>
        <v>0.24930555555555556</v>
      </c>
      <c r="F303" s="40">
        <v>2017</v>
      </c>
      <c r="G303" s="40">
        <v>9</v>
      </c>
      <c r="H303" s="37">
        <v>0.25</v>
      </c>
      <c r="I303" s="43">
        <v>600</v>
      </c>
      <c r="J303" s="43">
        <f>IF(I303=50,10,1)</f>
        <v>1</v>
      </c>
      <c r="K303" s="43"/>
      <c r="L303" s="438">
        <f>IF($I303&lt;192,0,IF($I303&gt;597,0, IF(VLOOKUP($I303,'CIRS Table Info'!$B$6:$J$425,3,FALSE)="Co-Add", 0.5,1) * (400 + IF(VLOOKUP($I303,'CIRS Table Info'!$B$6:$J$425,5,FALSE)="Data",1800,0) + IF(VLOOKUP($I303,'CIRS Table Info'!$B$6:$J$425,7,FALSE)="Data",1800,0) )))</f>
        <v>0</v>
      </c>
      <c r="M303" s="438">
        <f>VLOOKUP($B303,'CIRS Table IDs'!$B$6:$M$1001,12,FALSE)</f>
        <v>0</v>
      </c>
      <c r="N303" s="436" t="str">
        <f t="shared" si="13"/>
        <v/>
      </c>
      <c r="Q303" s="49"/>
      <c r="R303" s="49"/>
      <c r="S303" s="49"/>
      <c r="T303" s="49"/>
    </row>
    <row r="304" spans="1:20" x14ac:dyDescent="0.2">
      <c r="A304" s="21">
        <v>122</v>
      </c>
      <c r="B304" s="45" t="s">
        <v>552</v>
      </c>
      <c r="C304" s="36">
        <v>2017</v>
      </c>
      <c r="D304" s="36">
        <v>9</v>
      </c>
      <c r="E304" s="37">
        <v>0.25</v>
      </c>
      <c r="F304" s="36">
        <v>2017</v>
      </c>
      <c r="G304" s="36">
        <v>9</v>
      </c>
      <c r="H304" s="37">
        <v>0.34722222222222199</v>
      </c>
      <c r="I304" s="43">
        <v>450</v>
      </c>
      <c r="J304" s="43">
        <v>1</v>
      </c>
      <c r="K304" s="43"/>
      <c r="L304" s="438">
        <f>IF($I304&lt;192,0,IF($I304&gt;597,0, IF(VLOOKUP($I304,'CIRS Table Info'!$B$6:$J$425,3,FALSE)="Co-Add", 0.5,1) * (400 + IF(VLOOKUP($I304,'CIRS Table Info'!$B$6:$J$425,5,FALSE)="Data",1800,0) + IF(VLOOKUP($I304,'CIRS Table Info'!$B$6:$J$425,7,FALSE)="Data",1800,0) )))</f>
        <v>2200</v>
      </c>
      <c r="M304" s="438">
        <f>VLOOKUP($B304,'CIRS Table IDs'!$B$6:$M$1001,12,FALSE)</f>
        <v>2200</v>
      </c>
      <c r="N304" s="436" t="str">
        <f t="shared" si="13"/>
        <v/>
      </c>
      <c r="Q304" s="49"/>
      <c r="R304" s="49"/>
      <c r="S304" s="49"/>
      <c r="T304" s="49"/>
    </row>
    <row r="305" spans="1:20" x14ac:dyDescent="0.2">
      <c r="A305" s="21"/>
      <c r="B305" s="45" t="s">
        <v>689</v>
      </c>
      <c r="C305" s="40">
        <v>2017</v>
      </c>
      <c r="D305" s="40">
        <f>IF(H304&gt;=$E465,G304,G304-1)</f>
        <v>9</v>
      </c>
      <c r="E305" s="37">
        <f>IF(H304-$E463&gt;0,H304-$E463,H304-$E463+$E469)</f>
        <v>0.34652777777777755</v>
      </c>
      <c r="F305" s="40">
        <v>2017</v>
      </c>
      <c r="G305" s="40">
        <v>9</v>
      </c>
      <c r="H305" s="37">
        <f>E306</f>
        <v>0.41319444444444442</v>
      </c>
      <c r="I305" s="43">
        <v>606</v>
      </c>
      <c r="J305" s="43">
        <f>IF(I305=50,10,1)</f>
        <v>1</v>
      </c>
      <c r="K305" s="43"/>
      <c r="L305" s="438">
        <f>IF($I305&lt;192,0,IF($I305&gt;597,0, IF(VLOOKUP($I305,'CIRS Table Info'!$B$6:$J$425,3,FALSE)="Co-Add", 0.5,1) * (400 + IF(VLOOKUP($I305,'CIRS Table Info'!$B$6:$J$425,5,FALSE)="Data",1800,0) + IF(VLOOKUP($I305,'CIRS Table Info'!$B$6:$J$425,7,FALSE)="Data",1800,0) )))</f>
        <v>0</v>
      </c>
      <c r="M305" s="438">
        <f>VLOOKUP($B305,'CIRS Table IDs'!$B$6:$M$1001,12,FALSE)</f>
        <v>0</v>
      </c>
      <c r="N305" s="436" t="str">
        <f t="shared" si="13"/>
        <v/>
      </c>
      <c r="Q305" s="49"/>
      <c r="R305" s="49"/>
      <c r="S305" s="49"/>
      <c r="T305" s="49"/>
    </row>
    <row r="306" spans="1:20" x14ac:dyDescent="0.2">
      <c r="A306" s="21">
        <v>193</v>
      </c>
      <c r="B306" s="45" t="s">
        <v>693</v>
      </c>
      <c r="C306" s="40">
        <v>2017</v>
      </c>
      <c r="D306" s="40">
        <f>IF(H305&gt;=$E464,G305,G305-1)</f>
        <v>9</v>
      </c>
      <c r="E306" s="37">
        <v>0.41319444444444442</v>
      </c>
      <c r="F306" s="40">
        <v>2017</v>
      </c>
      <c r="G306" s="40">
        <v>9</v>
      </c>
      <c r="H306" s="37">
        <v>0.45833333333333331</v>
      </c>
      <c r="I306" s="43">
        <v>872</v>
      </c>
      <c r="J306" s="43">
        <f t="shared" ref="J306:J307" si="18">IF(I306=50,10,1)</f>
        <v>1</v>
      </c>
      <c r="K306" s="43"/>
      <c r="L306" s="438"/>
      <c r="M306" s="438"/>
      <c r="N306" s="436"/>
      <c r="Q306" s="49"/>
      <c r="R306" s="49"/>
      <c r="S306" s="49"/>
      <c r="T306" s="49"/>
    </row>
    <row r="307" spans="1:20" x14ac:dyDescent="0.2">
      <c r="A307" s="21"/>
      <c r="B307" s="45" t="s">
        <v>690</v>
      </c>
      <c r="C307" s="40">
        <v>2017</v>
      </c>
      <c r="D307" s="40">
        <f>IF(H306&gt;=$E461,G306,G306-1)</f>
        <v>9</v>
      </c>
      <c r="E307" s="37">
        <f>IF(H306-$E463&gt;0,H306-$E463,H306-$E463+$E469)</f>
        <v>0.45763888888888887</v>
      </c>
      <c r="F307" s="40">
        <v>2017</v>
      </c>
      <c r="G307" s="40">
        <v>9</v>
      </c>
      <c r="H307" s="37">
        <f>E308</f>
        <v>0.45833333333333298</v>
      </c>
      <c r="I307" s="43">
        <v>602</v>
      </c>
      <c r="J307" s="43">
        <f t="shared" si="18"/>
        <v>1</v>
      </c>
      <c r="K307" s="43"/>
      <c r="L307" s="438"/>
      <c r="M307" s="438"/>
      <c r="N307" s="436"/>
      <c r="Q307" s="49"/>
      <c r="R307" s="49"/>
      <c r="S307" s="49"/>
      <c r="T307" s="49"/>
    </row>
    <row r="308" spans="1:20" x14ac:dyDescent="0.2">
      <c r="A308" s="21">
        <v>123</v>
      </c>
      <c r="B308" s="45" t="s">
        <v>553</v>
      </c>
      <c r="C308" s="36">
        <v>2017</v>
      </c>
      <c r="D308" s="36">
        <v>9</v>
      </c>
      <c r="E308" s="37">
        <v>0.45833333333333298</v>
      </c>
      <c r="F308" s="36">
        <v>2017</v>
      </c>
      <c r="G308" s="36">
        <v>9</v>
      </c>
      <c r="H308" s="37">
        <v>0.625</v>
      </c>
      <c r="I308" s="43">
        <v>522</v>
      </c>
      <c r="J308" s="43">
        <v>1</v>
      </c>
      <c r="K308" s="43"/>
      <c r="L308" s="438">
        <f>IF($I308&lt;192,0,IF($I308&gt;597,0, IF(VLOOKUP($I308,'CIRS Table Info'!$B$6:$J$425,3,FALSE)="Co-Add", 0.5,1) * (400 + IF(VLOOKUP($I308,'CIRS Table Info'!$B$6:$J$425,5,FALSE)="Data",1800,0) + IF(VLOOKUP($I308,'CIRS Table Info'!$B$6:$J$425,7,FALSE)="Data",1800,0) )))</f>
        <v>2000</v>
      </c>
      <c r="M308" s="438">
        <f>VLOOKUP($B308,'CIRS Table IDs'!$B$6:$M$1001,12,FALSE)</f>
        <v>2000</v>
      </c>
      <c r="N308" s="436" t="str">
        <f t="shared" si="13"/>
        <v/>
      </c>
      <c r="Q308" s="49"/>
      <c r="R308" s="49"/>
      <c r="S308" s="49"/>
      <c r="T308" s="49"/>
    </row>
    <row r="309" spans="1:20" x14ac:dyDescent="0.2">
      <c r="A309" s="21"/>
      <c r="B309" s="45" t="s">
        <v>162</v>
      </c>
      <c r="C309" s="40">
        <v>2017</v>
      </c>
      <c r="D309" s="40">
        <f>IF(H308&gt;=$E463,G308,G308-1)</f>
        <v>9</v>
      </c>
      <c r="E309" s="37">
        <f>IF(H308-$E463&gt;0,H308-$E463,H308-$E463+$E469)</f>
        <v>0.62430555555555556</v>
      </c>
      <c r="F309" s="40">
        <v>2017</v>
      </c>
      <c r="G309" s="40">
        <v>9</v>
      </c>
      <c r="H309" s="37">
        <v>0.625</v>
      </c>
      <c r="I309" s="43">
        <v>600</v>
      </c>
      <c r="J309" s="43">
        <f>IF(I309=50,10,1)</f>
        <v>1</v>
      </c>
      <c r="K309" s="43"/>
      <c r="L309" s="438">
        <f>IF($I309&lt;192,0,IF($I309&gt;597,0, IF(VLOOKUP($I309,'CIRS Table Info'!$B$6:$J$425,3,FALSE)="Co-Add", 0.5,1) * (400 + IF(VLOOKUP($I309,'CIRS Table Info'!$B$6:$J$425,5,FALSE)="Data",1800,0) + IF(VLOOKUP($I309,'CIRS Table Info'!$B$6:$J$425,7,FALSE)="Data",1800,0) )))</f>
        <v>0</v>
      </c>
      <c r="M309" s="438">
        <f>VLOOKUP($B309,'CIRS Table IDs'!$B$6:$M$1001,12,FALSE)</f>
        <v>0</v>
      </c>
      <c r="N309" s="436" t="str">
        <f t="shared" si="13"/>
        <v/>
      </c>
      <c r="Q309" s="49"/>
      <c r="R309" s="49"/>
      <c r="S309" s="49"/>
      <c r="T309" s="49"/>
    </row>
    <row r="310" spans="1:20" x14ac:dyDescent="0.2">
      <c r="A310" s="21">
        <v>124</v>
      </c>
      <c r="B310" s="45" t="s">
        <v>554</v>
      </c>
      <c r="C310" s="36">
        <v>2017</v>
      </c>
      <c r="D310" s="36">
        <v>9</v>
      </c>
      <c r="E310" s="37">
        <v>0.625</v>
      </c>
      <c r="F310" s="36">
        <f>IF($G310&gt;=$D310,$C310,$C310+1)</f>
        <v>2017</v>
      </c>
      <c r="G310" s="36">
        <f>IF(MOD($C$5,4)&lt;&gt;0,IF($D310+IF($H310&gt;=$E310,0,IF($H310+$E469&gt;=$E310,1,2))&gt;365,1,$D310+IF($H310&gt;=$E310,0,IF($H310+$E469&gt;=$E310,1,2))),IF($D310+IF($H310&gt;=$E310,0,IF($H310+$E469&gt;=$E310,1,2))&gt;366,1,$D310+IF($H310&gt;=$E310,0,IF($H310+$E469&gt;=$E310,1,2))))</f>
        <v>9</v>
      </c>
      <c r="H310" s="37">
        <f>IF(E310 + TIMEVALUE("00:02:10")&gt;=1,E310 + TIMEVALUE("00:02:10")-1,E310 + TIMEVALUE("00:02:10"))</f>
        <v>0.62650462962962961</v>
      </c>
      <c r="I310" s="496">
        <v>203</v>
      </c>
      <c r="J310" s="43">
        <v>1</v>
      </c>
      <c r="K310" s="43"/>
      <c r="L310" s="438">
        <f>IF($I310&lt;192,0,IF($I310&gt;597,0, IF(VLOOKUP($I310,'CIRS Table Info'!$B$6:$J$425,3,FALSE)="Co-Add", 0.5,1) * (400 + IF(VLOOKUP($I310,'CIRS Table Info'!$B$6:$J$425,5,FALSE)="Data",1800,0) + IF(VLOOKUP($I310,'CIRS Table Info'!$B$6:$J$425,7,FALSE)="Data",1800,0) )))</f>
        <v>2200</v>
      </c>
      <c r="M310" s="438">
        <f>VLOOKUP($B310,'CIRS Table IDs'!$B$6:$M$1001,12,FALSE)</f>
        <v>2200</v>
      </c>
      <c r="N310" s="436" t="str">
        <f t="shared" si="13"/>
        <v/>
      </c>
      <c r="Q310" s="49"/>
      <c r="R310" s="49"/>
      <c r="S310" s="49"/>
      <c r="T310" s="49"/>
    </row>
    <row r="311" spans="1:20" x14ac:dyDescent="0.2">
      <c r="A311" s="21"/>
      <c r="B311" s="45" t="s">
        <v>554</v>
      </c>
      <c r="C311" s="36">
        <f>$F310</f>
        <v>2017</v>
      </c>
      <c r="D311" s="36">
        <f>$G310</f>
        <v>9</v>
      </c>
      <c r="E311" s="37">
        <f>IF(E310 + TIMEVALUE("00:02:10")&gt;=1,E310 + TIMEVALUE("00:02:10")-1,E310 + TIMEVALUE("00:02:10"))</f>
        <v>0.62650462962962961</v>
      </c>
      <c r="F311" s="36">
        <f>IF($G311&gt;=$D311,$C311,$C311+1)</f>
        <v>2017</v>
      </c>
      <c r="G311" s="36">
        <f>IF(MOD($C$5,4)&lt;&gt;0,IF($D311+IF($H311&gt;=$E311,0,IF($H311+$E469&gt;=$E311,1,2))&gt;365,1,$D311+IF($H311&gt;=$E311,0,IF($H311+$E469&gt;=$E311,1,2))),IF($D311+IF($H311&gt;=$E311,0,IF($H311+$E469&gt;=$E311,1,2))&gt;366,1,$D311+IF($H311&gt;=$E311,0,IF($H311+$E469&gt;=$E311,1,2))))</f>
        <v>9</v>
      </c>
      <c r="H311" s="37">
        <f>IF(E310 + TIMEVALUE("03:31:00")&gt;=1,E310 + TIMEVALUE("03:31:00")-1,E310 + TIMEVALUE("03:31:00"))</f>
        <v>0.77152777777777781</v>
      </c>
      <c r="I311" s="496">
        <v>200</v>
      </c>
      <c r="J311" s="43">
        <v>1</v>
      </c>
      <c r="K311" s="43"/>
      <c r="L311" s="438">
        <f>IF($I311&lt;192,0,IF($I311&gt;597,0, IF(VLOOKUP($I311,'CIRS Table Info'!$B$6:$J$425,3,FALSE)="Co-Add", 0.5,1) * (400 + IF(VLOOKUP($I311,'CIRS Table Info'!$B$6:$J$425,5,FALSE)="Data",1800,0) + IF(VLOOKUP($I311,'CIRS Table Info'!$B$6:$J$425,7,FALSE)="Data",1800,0) )))</f>
        <v>2200</v>
      </c>
      <c r="M311" s="438">
        <f>VLOOKUP($B311,'CIRS Table IDs'!$B$6:$M$1001,12,FALSE)</f>
        <v>2200</v>
      </c>
      <c r="N311" s="436" t="str">
        <f t="shared" si="13"/>
        <v/>
      </c>
      <c r="Q311" s="49"/>
      <c r="R311" s="49"/>
      <c r="S311" s="49"/>
      <c r="T311" s="49"/>
    </row>
    <row r="312" spans="1:20" x14ac:dyDescent="0.2">
      <c r="A312" s="21"/>
      <c r="B312" s="45" t="s">
        <v>554</v>
      </c>
      <c r="C312" s="36">
        <f>$F311</f>
        <v>2017</v>
      </c>
      <c r="D312" s="36">
        <f>$G311</f>
        <v>9</v>
      </c>
      <c r="E312" s="37">
        <f>IF(E310 + TIMEVALUE("03:31:00")&gt;=1,E310 + TIMEVALUE("03:31:00")-1,E310 + TIMEVALUE("03:31:00"))</f>
        <v>0.77152777777777781</v>
      </c>
      <c r="F312" s="36">
        <f>IF($G312&gt;=$D312,$C312,$C312+1)</f>
        <v>2017</v>
      </c>
      <c r="G312" s="36">
        <f>IF(MOD($C$5,4)&lt;&gt;0,IF($D312+IF($H312&gt;=$E312,0,IF($H312+$E469&gt;=$E312,1,2))&gt;365,1,$D312+IF($H312&gt;=$E312,0,IF($H312+$E469&gt;=$E312,1,2))),IF($D312+IF($H312&gt;=$E312,0,IF($H312+$E469&gt;=$E312,1,2))&gt;366,1,$D312+IF($H312&gt;=$E312,0,IF($H312+$E469&gt;=$E312,1,2))))</f>
        <v>9</v>
      </c>
      <c r="H312" s="37">
        <f>IF(E310 + TIMEVALUE("03:33:10")&gt;=1,E310 + TIMEVALUE("03:33:10")-1,E310 + TIMEVALUE("03:33:10"))</f>
        <v>0.77303240740740742</v>
      </c>
      <c r="I312" s="496">
        <v>203</v>
      </c>
      <c r="J312" s="43">
        <v>1</v>
      </c>
      <c r="K312" s="43"/>
      <c r="L312" s="438">
        <f>IF($I312&lt;192,0,IF($I312&gt;597,0, IF(VLOOKUP($I312,'CIRS Table Info'!$B$6:$J$425,3,FALSE)="Co-Add", 0.5,1) * (400 + IF(VLOOKUP($I312,'CIRS Table Info'!$B$6:$J$425,5,FALSE)="Data",1800,0) + IF(VLOOKUP($I312,'CIRS Table Info'!$B$6:$J$425,7,FALSE)="Data",1800,0) )))</f>
        <v>2200</v>
      </c>
      <c r="M312" s="438">
        <f>VLOOKUP($B312,'CIRS Table IDs'!$B$6:$M$1001,12,FALSE)</f>
        <v>2200</v>
      </c>
      <c r="N312" s="436" t="str">
        <f t="shared" si="13"/>
        <v/>
      </c>
      <c r="Q312" s="49"/>
      <c r="R312" s="49"/>
      <c r="S312" s="49"/>
      <c r="T312" s="49"/>
    </row>
    <row r="313" spans="1:20" x14ac:dyDescent="0.2">
      <c r="A313" s="21"/>
      <c r="B313" s="45" t="s">
        <v>554</v>
      </c>
      <c r="C313" s="36">
        <f>$F312</f>
        <v>2017</v>
      </c>
      <c r="D313" s="36">
        <f>$G312</f>
        <v>9</v>
      </c>
      <c r="E313" s="37">
        <f>IF(E310 + TIMEVALUE("03:33:10")&gt;=1,E310 + TIMEVALUE("03:33:10")-1,E310 + TIMEVALUE("03:33:10"))</f>
        <v>0.77303240740740742</v>
      </c>
      <c r="F313" s="36">
        <f>IF($G313&gt;=$D313,$C313,$C313+1)</f>
        <v>2017</v>
      </c>
      <c r="G313" s="36">
        <f>IF(0.875 - TIMEVALUE("00:03:10")&gt;=0, 9, 8)</f>
        <v>9</v>
      </c>
      <c r="H313" s="37">
        <f>IF(0.875 - TIMEVALUE("00:03:10")&gt;=0, 0.875 - TIMEVALUE("00:03:10"), 0.875 - TIMEVALUE("00:03:10") +$E469)</f>
        <v>0.87280092592592595</v>
      </c>
      <c r="I313" s="496">
        <v>200</v>
      </c>
      <c r="J313" s="43">
        <v>1</v>
      </c>
      <c r="K313" s="43"/>
      <c r="L313" s="438">
        <f>IF($I313&lt;192,0,IF($I313&gt;597,0, IF(VLOOKUP($I313,'CIRS Table Info'!$B$6:$J$425,3,FALSE)="Co-Add", 0.5,1) * (400 + IF(VLOOKUP($I313,'CIRS Table Info'!$B$6:$J$425,5,FALSE)="Data",1800,0) + IF(VLOOKUP($I313,'CIRS Table Info'!$B$6:$J$425,7,FALSE)="Data",1800,0) )))</f>
        <v>2200</v>
      </c>
      <c r="M313" s="438">
        <f>VLOOKUP($B313,'CIRS Table IDs'!$B$6:$M$1001,12,FALSE)</f>
        <v>2200</v>
      </c>
      <c r="N313" s="436" t="str">
        <f t="shared" si="13"/>
        <v/>
      </c>
      <c r="Q313" s="49"/>
      <c r="R313" s="49"/>
      <c r="S313" s="49"/>
      <c r="T313" s="49"/>
    </row>
    <row r="314" spans="1:20" x14ac:dyDescent="0.2">
      <c r="A314" s="21"/>
      <c r="B314" s="45" t="s">
        <v>554</v>
      </c>
      <c r="C314" s="36">
        <f>$F313</f>
        <v>2017</v>
      </c>
      <c r="D314" s="36">
        <f>$G313</f>
        <v>9</v>
      </c>
      <c r="E314" s="37">
        <f>IF(0.875 - TIMEVALUE("00:03:10")&gt;=0, 0.875 - TIMEVALUE("00:03:10"), 0.875 - TIMEVALUE("00:03:10") +$E469)</f>
        <v>0.87280092592592595</v>
      </c>
      <c r="F314" s="36">
        <f>IF($G314&gt;=$D314,$C314,$C314+1)</f>
        <v>2017</v>
      </c>
      <c r="G314" s="36">
        <v>9</v>
      </c>
      <c r="H314" s="37">
        <v>0.875</v>
      </c>
      <c r="I314" s="496">
        <v>203</v>
      </c>
      <c r="J314" s="43">
        <v>1</v>
      </c>
      <c r="K314" s="43"/>
      <c r="L314" s="438">
        <f>IF($I314&lt;192,0,IF($I314&gt;597,0, IF(VLOOKUP($I314,'CIRS Table Info'!$B$6:$J$425,3,FALSE)="Co-Add", 0.5,1) * (400 + IF(VLOOKUP($I314,'CIRS Table Info'!$B$6:$J$425,5,FALSE)="Data",1800,0) + IF(VLOOKUP($I314,'CIRS Table Info'!$B$6:$J$425,7,FALSE)="Data",1800,0) )))</f>
        <v>2200</v>
      </c>
      <c r="M314" s="438">
        <f>VLOOKUP($B314,'CIRS Table IDs'!$B$6:$M$1001,12,FALSE)</f>
        <v>2200</v>
      </c>
      <c r="N314" s="436" t="str">
        <f t="shared" si="13"/>
        <v/>
      </c>
      <c r="Q314" s="49"/>
      <c r="R314" s="49"/>
      <c r="S314" s="49"/>
      <c r="T314" s="49"/>
    </row>
    <row r="315" spans="1:20" x14ac:dyDescent="0.2">
      <c r="A315" s="21"/>
      <c r="B315" s="45" t="s">
        <v>163</v>
      </c>
      <c r="C315" s="36">
        <v>2017</v>
      </c>
      <c r="D315" s="36">
        <f>IF(H314&gt;=$E463,G314,G314-1)</f>
        <v>9</v>
      </c>
      <c r="E315" s="37">
        <f>IF(H314-$E463&gt;0,H314-$E463,H314-$E463+$E469)</f>
        <v>0.87430555555555556</v>
      </c>
      <c r="F315" s="40">
        <v>2017</v>
      </c>
      <c r="G315" s="40">
        <v>9</v>
      </c>
      <c r="H315" s="37">
        <v>0.875</v>
      </c>
      <c r="I315" s="43">
        <v>600</v>
      </c>
      <c r="J315" s="43">
        <f>IF(I315=50,10,1)</f>
        <v>1</v>
      </c>
      <c r="K315" s="43"/>
      <c r="L315" s="438">
        <f>IF($I315&lt;192,0,IF($I315&gt;597,0, IF(VLOOKUP($I315,'CIRS Table Info'!$B$6:$J$425,3,FALSE)="Co-Add", 0.5,1) * (400 + IF(VLOOKUP($I315,'CIRS Table Info'!$B$6:$J$425,5,FALSE)="Data",1800,0) + IF(VLOOKUP($I315,'CIRS Table Info'!$B$6:$J$425,7,FALSE)="Data",1800,0) )))</f>
        <v>0</v>
      </c>
      <c r="M315" s="438">
        <f>VLOOKUP($B315,'CIRS Table IDs'!$B$6:$M$1001,12,FALSE)</f>
        <v>0</v>
      </c>
      <c r="N315" s="436" t="str">
        <f t="shared" si="13"/>
        <v/>
      </c>
      <c r="Q315" s="49"/>
      <c r="R315" s="49"/>
      <c r="S315" s="49"/>
      <c r="T315" s="49"/>
    </row>
    <row r="316" spans="1:20" x14ac:dyDescent="0.2">
      <c r="A316" s="21">
        <v>125</v>
      </c>
      <c r="B316" s="45" t="s">
        <v>558</v>
      </c>
      <c r="C316" s="36">
        <v>2017</v>
      </c>
      <c r="D316" s="36">
        <v>9</v>
      </c>
      <c r="E316" s="37">
        <v>0.875</v>
      </c>
      <c r="F316" s="36">
        <v>2017</v>
      </c>
      <c r="G316" s="36">
        <v>10</v>
      </c>
      <c r="H316" s="37">
        <v>2.5000000000000001E-2</v>
      </c>
      <c r="I316" s="43">
        <v>192</v>
      </c>
      <c r="J316" s="43">
        <v>1</v>
      </c>
      <c r="K316" s="43"/>
      <c r="L316" s="438">
        <f>IF($I316&lt;192,0,IF($I316&gt;597,0, IF(VLOOKUP($I316,'CIRS Table Info'!$B$6:$J$425,3,FALSE)="Co-Add", 0.5,1) * (400 + IF(VLOOKUP($I316,'CIRS Table Info'!$B$6:$J$425,5,FALSE)="Data",1800,0) + IF(VLOOKUP($I316,'CIRS Table Info'!$B$6:$J$425,7,FALSE)="Data",1800,0) )))</f>
        <v>400</v>
      </c>
      <c r="M316" s="438">
        <f>VLOOKUP($B316,'CIRS Table IDs'!$B$6:$M$1001,12,FALSE)</f>
        <v>400</v>
      </c>
      <c r="N316" s="436" t="str">
        <f t="shared" ref="N316:N375" si="19">IF(L316=M316,"",IF(RIGHT(B316,3)="_SP","",IF(I316&lt;700,"Error","Warning")))</f>
        <v/>
      </c>
      <c r="Q316" s="49"/>
      <c r="R316" s="49"/>
      <c r="S316" s="49"/>
      <c r="T316" s="49"/>
    </row>
    <row r="317" spans="1:20" x14ac:dyDescent="0.2">
      <c r="A317" s="21"/>
      <c r="B317" s="45" t="s">
        <v>164</v>
      </c>
      <c r="C317" s="40">
        <v>2017</v>
      </c>
      <c r="D317" s="40">
        <f>IF(H316&gt;=$E463,G316,G316-1)</f>
        <v>10</v>
      </c>
      <c r="E317" s="37">
        <f>IF(H316-$E463&gt;0,H316-$E463,H316-$E463+$E469)</f>
        <v>2.4305555555555556E-2</v>
      </c>
      <c r="F317" s="40">
        <v>2017</v>
      </c>
      <c r="G317" s="40">
        <v>10</v>
      </c>
      <c r="H317" s="37">
        <v>2.5000000000000001E-2</v>
      </c>
      <c r="I317" s="43">
        <v>600</v>
      </c>
      <c r="J317" s="43">
        <f>IF(I317=50,10,1)</f>
        <v>1</v>
      </c>
      <c r="K317" s="43"/>
      <c r="L317" s="438">
        <f>IF($I317&lt;192,0,IF($I317&gt;597,0, IF(VLOOKUP($I317,'CIRS Table Info'!$B$6:$J$425,3,FALSE)="Co-Add", 0.5,1) * (400 + IF(VLOOKUP($I317,'CIRS Table Info'!$B$6:$J$425,5,FALSE)="Data",1800,0) + IF(VLOOKUP($I317,'CIRS Table Info'!$B$6:$J$425,7,FALSE)="Data",1800,0) )))</f>
        <v>0</v>
      </c>
      <c r="M317" s="438">
        <f>VLOOKUP($B317,'CIRS Table IDs'!$B$6:$M$1001,12,FALSE)</f>
        <v>0</v>
      </c>
      <c r="N317" s="436" t="str">
        <f t="shared" si="19"/>
        <v/>
      </c>
      <c r="Q317" s="49"/>
      <c r="R317" s="49"/>
      <c r="S317" s="49"/>
      <c r="T317" s="49"/>
    </row>
    <row r="318" spans="1:20" x14ac:dyDescent="0.2">
      <c r="A318" s="21">
        <v>126</v>
      </c>
      <c r="B318" s="45" t="s">
        <v>559</v>
      </c>
      <c r="C318" s="36">
        <v>2017</v>
      </c>
      <c r="D318" s="36">
        <v>10</v>
      </c>
      <c r="E318" s="37">
        <v>2.5000000000000001E-2</v>
      </c>
      <c r="F318" s="36">
        <v>2017</v>
      </c>
      <c r="G318" s="36">
        <v>10</v>
      </c>
      <c r="H318" s="37">
        <v>5.2777777777777798E-2</v>
      </c>
      <c r="I318" s="43">
        <v>192</v>
      </c>
      <c r="J318" s="43">
        <v>1</v>
      </c>
      <c r="K318" s="43"/>
      <c r="L318" s="438">
        <f>IF($I318&lt;192,0,IF($I318&gt;597,0, IF(VLOOKUP($I318,'CIRS Table Info'!$B$6:$J$425,3,FALSE)="Co-Add", 0.5,1) * (400 + IF(VLOOKUP($I318,'CIRS Table Info'!$B$6:$J$425,5,FALSE)="Data",1800,0) + IF(VLOOKUP($I318,'CIRS Table Info'!$B$6:$J$425,7,FALSE)="Data",1800,0) )))</f>
        <v>400</v>
      </c>
      <c r="M318" s="438">
        <f>VLOOKUP($B318,'CIRS Table IDs'!$B$6:$M$1001,12,FALSE)</f>
        <v>400</v>
      </c>
      <c r="N318" s="436" t="str">
        <f t="shared" si="19"/>
        <v/>
      </c>
      <c r="Q318" s="49"/>
      <c r="R318" s="49"/>
      <c r="S318" s="49"/>
      <c r="T318" s="49"/>
    </row>
    <row r="319" spans="1:20" x14ac:dyDescent="0.2">
      <c r="A319" s="21"/>
      <c r="B319" s="45" t="s">
        <v>165</v>
      </c>
      <c r="C319" s="40">
        <v>2017</v>
      </c>
      <c r="D319" s="40">
        <f>IF(H318&gt;=$E463,G318,G318-1)</f>
        <v>10</v>
      </c>
      <c r="E319" s="37">
        <f>IF(H318-$E463&gt;0,H318-$E463,H318-$E463+$E469)</f>
        <v>5.2083333333333356E-2</v>
      </c>
      <c r="F319" s="40">
        <v>2017</v>
      </c>
      <c r="G319" s="40">
        <v>10</v>
      </c>
      <c r="H319" s="37">
        <v>0.55138888888888904</v>
      </c>
      <c r="I319" s="43">
        <v>50</v>
      </c>
      <c r="J319" s="43">
        <f>IF(I319=50,10,1)</f>
        <v>10</v>
      </c>
      <c r="K319" s="43"/>
      <c r="L319" s="438">
        <f>IF($I319&lt;192,0,IF($I319&gt;597,0, IF(VLOOKUP($I319,'CIRS Table Info'!$B$6:$J$425,3,FALSE)="Co-Add", 0.5,1) * (400 + IF(VLOOKUP($I319,'CIRS Table Info'!$B$6:$J$425,5,FALSE)="Data",1800,0) + IF(VLOOKUP($I319,'CIRS Table Info'!$B$6:$J$425,7,FALSE)="Data",1800,0) )))</f>
        <v>0</v>
      </c>
      <c r="M319" s="438">
        <f>VLOOKUP($B319,'CIRS Table IDs'!$B$6:$M$1001,12,FALSE)</f>
        <v>0</v>
      </c>
      <c r="N319" s="436" t="str">
        <f t="shared" si="19"/>
        <v/>
      </c>
      <c r="Q319" s="49"/>
      <c r="R319" s="49"/>
      <c r="S319" s="49"/>
      <c r="T319" s="49"/>
    </row>
    <row r="320" spans="1:20" x14ac:dyDescent="0.2">
      <c r="A320" s="21">
        <v>127</v>
      </c>
      <c r="B320" s="45" t="s">
        <v>560</v>
      </c>
      <c r="C320" s="36">
        <v>2017</v>
      </c>
      <c r="D320" s="36">
        <v>10</v>
      </c>
      <c r="E320" s="37">
        <v>0.55138888888888904</v>
      </c>
      <c r="F320" s="36">
        <v>2017</v>
      </c>
      <c r="G320" s="36">
        <v>10</v>
      </c>
      <c r="H320" s="37">
        <v>0.81388888888888899</v>
      </c>
      <c r="I320" s="43">
        <v>876</v>
      </c>
      <c r="J320" s="43">
        <f>IF(I320=50,10,1)</f>
        <v>1</v>
      </c>
      <c r="K320" s="43"/>
      <c r="L320" s="438">
        <f>IF($I320&lt;192,0,IF($I320&gt;597,0, IF(VLOOKUP($I320,'CIRS Table Info'!$B$6:$J$425,3,FALSE)="Co-Add", 0.5,1) * (400 + IF(VLOOKUP($I320,'CIRS Table Info'!$B$6:$J$425,5,FALSE)="Data",1800,0) + IF(VLOOKUP($I320,'CIRS Table Info'!$B$6:$J$425,7,FALSE)="Data",1800,0) )))</f>
        <v>0</v>
      </c>
      <c r="M320" s="438">
        <f>VLOOKUP($B320,'CIRS Table IDs'!$B$6:$M$1001,12,FALSE)</f>
        <v>3000</v>
      </c>
      <c r="N320" s="436" t="str">
        <f t="shared" si="19"/>
        <v/>
      </c>
      <c r="Q320" s="49"/>
      <c r="R320" s="49"/>
      <c r="S320" s="49"/>
      <c r="T320" s="49"/>
    </row>
    <row r="321" spans="1:20" x14ac:dyDescent="0.2">
      <c r="A321" s="21"/>
      <c r="B321" s="45" t="s">
        <v>166</v>
      </c>
      <c r="C321" s="40">
        <v>2017</v>
      </c>
      <c r="D321" s="40">
        <f>IF(H320&gt;=$E463,G320,G320-1)</f>
        <v>10</v>
      </c>
      <c r="E321" s="37">
        <f>IF(H320-$E463&gt;0,H320-$E463,H320-$E463+$E469)</f>
        <v>0.81319444444444455</v>
      </c>
      <c r="F321" s="40">
        <v>2017</v>
      </c>
      <c r="G321" s="40">
        <v>10</v>
      </c>
      <c r="H321" s="37">
        <v>0.83333333333333304</v>
      </c>
      <c r="I321" s="43">
        <v>600</v>
      </c>
      <c r="J321" s="43">
        <f>IF(I321=50,10,1)</f>
        <v>1</v>
      </c>
      <c r="K321" s="43"/>
      <c r="L321" s="438">
        <f>IF($I321&lt;192,0,IF($I321&gt;597,0, IF(VLOOKUP($I321,'CIRS Table Info'!$B$6:$J$425,3,FALSE)="Co-Add", 0.5,1) * (400 + IF(VLOOKUP($I321,'CIRS Table Info'!$B$6:$J$425,5,FALSE)="Data",1800,0) + IF(VLOOKUP($I321,'CIRS Table Info'!$B$6:$J$425,7,FALSE)="Data",1800,0) )))</f>
        <v>0</v>
      </c>
      <c r="M321" s="438">
        <f>VLOOKUP($B321,'CIRS Table IDs'!$B$6:$M$1001,12,FALSE)</f>
        <v>0</v>
      </c>
      <c r="N321" s="436" t="str">
        <f t="shared" si="19"/>
        <v/>
      </c>
      <c r="Q321" s="49"/>
      <c r="R321" s="49"/>
      <c r="S321" s="49"/>
      <c r="T321" s="49"/>
    </row>
    <row r="322" spans="1:20" x14ac:dyDescent="0.2">
      <c r="A322" s="21">
        <v>128</v>
      </c>
      <c r="B322" s="45" t="s">
        <v>561</v>
      </c>
      <c r="C322" s="36">
        <v>2017</v>
      </c>
      <c r="D322" s="36">
        <v>10</v>
      </c>
      <c r="E322" s="37">
        <v>0.83333333333333304</v>
      </c>
      <c r="F322" s="36">
        <v>2017</v>
      </c>
      <c r="G322" s="36">
        <v>11</v>
      </c>
      <c r="H322" s="37">
        <v>2.5000000000000001E-2</v>
      </c>
      <c r="I322" s="43">
        <v>192</v>
      </c>
      <c r="J322" s="43">
        <v>1</v>
      </c>
      <c r="K322" s="43"/>
      <c r="L322" s="438">
        <f>IF($I322&lt;192,0,IF($I322&gt;597,0, IF(VLOOKUP($I322,'CIRS Table Info'!$B$6:$J$425,3,FALSE)="Co-Add", 0.5,1) * (400 + IF(VLOOKUP($I322,'CIRS Table Info'!$B$6:$J$425,5,FALSE)="Data",1800,0) + IF(VLOOKUP($I322,'CIRS Table Info'!$B$6:$J$425,7,FALSE)="Data",1800,0) )))</f>
        <v>400</v>
      </c>
      <c r="M322" s="438">
        <f>VLOOKUP($B322,'CIRS Table IDs'!$B$6:$M$1001,12,FALSE)</f>
        <v>400</v>
      </c>
      <c r="N322" s="436" t="str">
        <f t="shared" si="19"/>
        <v/>
      </c>
      <c r="Q322" s="49"/>
      <c r="R322" s="49"/>
      <c r="S322" s="49"/>
      <c r="T322" s="49"/>
    </row>
    <row r="323" spans="1:20" x14ac:dyDescent="0.2">
      <c r="A323" s="21"/>
      <c r="B323" s="45" t="s">
        <v>167</v>
      </c>
      <c r="C323" s="40">
        <v>2017</v>
      </c>
      <c r="D323" s="40">
        <f>IF(H322&gt;=$E463,G322,G322-1)</f>
        <v>11</v>
      </c>
      <c r="E323" s="37">
        <f>IF(H322-$E463&gt;0,H322-$E463,H322-$E463+$E469)</f>
        <v>2.4305555555555556E-2</v>
      </c>
      <c r="F323" s="40">
        <v>2017</v>
      </c>
      <c r="G323" s="40">
        <v>11</v>
      </c>
      <c r="H323" s="37">
        <v>2.5000000000000001E-2</v>
      </c>
      <c r="I323" s="43">
        <v>606</v>
      </c>
      <c r="J323" s="43">
        <f>IF(I323=50,10,1)</f>
        <v>1</v>
      </c>
      <c r="K323" s="43"/>
      <c r="L323" s="438">
        <f>IF($I323&lt;192,0,IF($I323&gt;597,0, IF(VLOOKUP($I323,'CIRS Table Info'!$B$6:$J$425,3,FALSE)="Co-Add", 0.5,1) * (400 + IF(VLOOKUP($I323,'CIRS Table Info'!$B$6:$J$425,5,FALSE)="Data",1800,0) + IF(VLOOKUP($I323,'CIRS Table Info'!$B$6:$J$425,7,FALSE)="Data",1800,0) )))</f>
        <v>0</v>
      </c>
      <c r="M323" s="438">
        <f>VLOOKUP($B323,'CIRS Table IDs'!$B$6:$M$1001,12,FALSE)</f>
        <v>0</v>
      </c>
      <c r="N323" s="436" t="str">
        <f t="shared" si="19"/>
        <v/>
      </c>
      <c r="Q323" s="49"/>
      <c r="R323" s="49"/>
      <c r="S323" s="49"/>
      <c r="T323" s="49"/>
    </row>
    <row r="324" spans="1:20" x14ac:dyDescent="0.2">
      <c r="A324" s="21">
        <v>129</v>
      </c>
      <c r="B324" s="45" t="s">
        <v>562</v>
      </c>
      <c r="C324" s="36">
        <v>2017</v>
      </c>
      <c r="D324" s="36">
        <v>11</v>
      </c>
      <c r="E324" s="37">
        <v>2.5000000000000001E-2</v>
      </c>
      <c r="F324" s="36">
        <v>2017</v>
      </c>
      <c r="G324" s="36">
        <v>11</v>
      </c>
      <c r="H324" s="37">
        <v>8.7499999999999994E-2</v>
      </c>
      <c r="I324" s="43">
        <v>341</v>
      </c>
      <c r="J324" s="43">
        <v>1</v>
      </c>
      <c r="K324" s="43"/>
      <c r="L324" s="438">
        <f>IF($I324&lt;192,0,IF($I324&gt;597,0, IF(VLOOKUP($I324,'CIRS Table Info'!$B$6:$J$425,3,FALSE)="Co-Add", 0.5,1) * (400 + IF(VLOOKUP($I324,'CIRS Table Info'!$B$6:$J$425,5,FALSE)="Data",1800,0) + IF(VLOOKUP($I324,'CIRS Table Info'!$B$6:$J$425,7,FALSE)="Data",1800,0) )))</f>
        <v>4000</v>
      </c>
      <c r="M324" s="438">
        <f>VLOOKUP($B324,'CIRS Table IDs'!$B$6:$M$1001,12,FALSE)</f>
        <v>4000</v>
      </c>
      <c r="N324" s="436" t="str">
        <f t="shared" si="19"/>
        <v/>
      </c>
      <c r="Q324" s="49"/>
      <c r="R324" s="49"/>
      <c r="S324" s="49"/>
      <c r="T324" s="49"/>
    </row>
    <row r="325" spans="1:20" x14ac:dyDescent="0.2">
      <c r="A325" s="21"/>
      <c r="B325" s="45" t="s">
        <v>168</v>
      </c>
      <c r="C325" s="40">
        <v>2017</v>
      </c>
      <c r="D325" s="40">
        <f>IF(H324&gt;=$E463,G324,G324-1)</f>
        <v>11</v>
      </c>
      <c r="E325" s="37">
        <f>IF(H324-$E463&gt;0,H324-$E463,H324-$E463+$E469)</f>
        <v>8.6805555555555552E-2</v>
      </c>
      <c r="F325" s="40">
        <v>2017</v>
      </c>
      <c r="G325" s="40">
        <v>11</v>
      </c>
      <c r="H325" s="37">
        <v>8.7499999999999994E-2</v>
      </c>
      <c r="I325" s="43">
        <v>600</v>
      </c>
      <c r="J325" s="43">
        <f>IF(I325=50,10,1)</f>
        <v>1</v>
      </c>
      <c r="K325" s="43"/>
      <c r="L325" s="438">
        <f>IF($I325&lt;192,0,IF($I325&gt;597,0, IF(VLOOKUP($I325,'CIRS Table Info'!$B$6:$J$425,3,FALSE)="Co-Add", 0.5,1) * (400 + IF(VLOOKUP($I325,'CIRS Table Info'!$B$6:$J$425,5,FALSE)="Data",1800,0) + IF(VLOOKUP($I325,'CIRS Table Info'!$B$6:$J$425,7,FALSE)="Data",1800,0) )))</f>
        <v>0</v>
      </c>
      <c r="M325" s="438">
        <f>VLOOKUP($B325,'CIRS Table IDs'!$B$6:$M$1001,12,FALSE)</f>
        <v>0</v>
      </c>
      <c r="N325" s="436" t="str">
        <f t="shared" si="19"/>
        <v/>
      </c>
      <c r="Q325" s="49"/>
      <c r="R325" s="49"/>
      <c r="S325" s="49"/>
      <c r="T325" s="49"/>
    </row>
    <row r="326" spans="1:20" x14ac:dyDescent="0.2">
      <c r="A326" s="21">
        <v>130</v>
      </c>
      <c r="B326" s="45" t="s">
        <v>563</v>
      </c>
      <c r="C326" s="36">
        <v>2017</v>
      </c>
      <c r="D326" s="36">
        <v>11</v>
      </c>
      <c r="E326" s="37">
        <v>8.7499999999999994E-2</v>
      </c>
      <c r="F326" s="36">
        <v>2017</v>
      </c>
      <c r="G326" s="36">
        <v>11</v>
      </c>
      <c r="H326" s="37">
        <v>0.41944444444444401</v>
      </c>
      <c r="I326" s="43">
        <v>192</v>
      </c>
      <c r="J326" s="43">
        <v>1</v>
      </c>
      <c r="K326" s="43"/>
      <c r="L326" s="438">
        <f>IF($I326&lt;192,0,IF($I326&gt;597,0, IF(VLOOKUP($I326,'CIRS Table Info'!$B$6:$J$425,3,FALSE)="Co-Add", 0.5,1) * (400 + IF(VLOOKUP($I326,'CIRS Table Info'!$B$6:$J$425,5,FALSE)="Data",1800,0) + IF(VLOOKUP($I326,'CIRS Table Info'!$B$6:$J$425,7,FALSE)="Data",1800,0) )))</f>
        <v>400</v>
      </c>
      <c r="M326" s="438">
        <f>VLOOKUP($B326,'CIRS Table IDs'!$B$6:$M$1001,12,FALSE)</f>
        <v>400</v>
      </c>
      <c r="N326" s="436" t="str">
        <f t="shared" si="19"/>
        <v/>
      </c>
      <c r="Q326" s="49"/>
      <c r="R326" s="49"/>
      <c r="S326" s="49"/>
      <c r="T326" s="49"/>
    </row>
    <row r="327" spans="1:20" x14ac:dyDescent="0.2">
      <c r="A327" s="21"/>
      <c r="B327" s="45" t="s">
        <v>169</v>
      </c>
      <c r="C327" s="40">
        <v>2017</v>
      </c>
      <c r="D327" s="40">
        <f>IF(H326&gt;=$E463,G326,G326-1)</f>
        <v>11</v>
      </c>
      <c r="E327" s="37">
        <f>IF(H326-$E463&gt;0,H326-$E463,H326-$E463+$E469)</f>
        <v>0.41874999999999957</v>
      </c>
      <c r="F327" s="40">
        <v>2017</v>
      </c>
      <c r="G327" s="40">
        <v>11</v>
      </c>
      <c r="H327" s="37">
        <v>0.55138888888888904</v>
      </c>
      <c r="I327" s="43">
        <v>50</v>
      </c>
      <c r="J327" s="43">
        <f>IF(I327=50,10,1)</f>
        <v>10</v>
      </c>
      <c r="K327" s="43"/>
      <c r="L327" s="438">
        <f>IF($I327&lt;192,0,IF($I327&gt;597,0, IF(VLOOKUP($I327,'CIRS Table Info'!$B$6:$J$425,3,FALSE)="Co-Add", 0.5,1) * (400 + IF(VLOOKUP($I327,'CIRS Table Info'!$B$6:$J$425,5,FALSE)="Data",1800,0) + IF(VLOOKUP($I327,'CIRS Table Info'!$B$6:$J$425,7,FALSE)="Data",1800,0) )))</f>
        <v>0</v>
      </c>
      <c r="M327" s="438">
        <f>VLOOKUP($B327,'CIRS Table IDs'!$B$6:$M$1001,12,FALSE)</f>
        <v>0</v>
      </c>
      <c r="N327" s="436" t="str">
        <f t="shared" si="19"/>
        <v/>
      </c>
      <c r="Q327" s="49"/>
      <c r="R327" s="49"/>
      <c r="S327" s="49"/>
      <c r="T327" s="49"/>
    </row>
    <row r="328" spans="1:20" x14ac:dyDescent="0.2">
      <c r="A328" s="21">
        <v>131</v>
      </c>
      <c r="B328" s="45" t="s">
        <v>564</v>
      </c>
      <c r="C328" s="36">
        <v>2017</v>
      </c>
      <c r="D328" s="36">
        <v>11</v>
      </c>
      <c r="E328" s="37">
        <v>0.55138888888888904</v>
      </c>
      <c r="F328" s="36">
        <v>2017</v>
      </c>
      <c r="G328" s="36">
        <v>11</v>
      </c>
      <c r="H328" s="37">
        <v>0.85069444444444497</v>
      </c>
      <c r="I328" s="43">
        <v>880</v>
      </c>
      <c r="J328" s="43">
        <f>IF(I328=50,10,1)</f>
        <v>1</v>
      </c>
      <c r="K328" s="43"/>
      <c r="L328" s="438">
        <f>IF($I328&lt;192,0,IF($I328&gt;597,0, IF(VLOOKUP($I328,'CIRS Table Info'!$B$6:$J$425,3,FALSE)="Co-Add", 0.5,1) * (400 + IF(VLOOKUP($I328,'CIRS Table Info'!$B$6:$J$425,5,FALSE)="Data",1800,0) + IF(VLOOKUP($I328,'CIRS Table Info'!$B$6:$J$425,7,FALSE)="Data",1800,0) )))</f>
        <v>0</v>
      </c>
      <c r="M328" s="438">
        <f>VLOOKUP($B328,'CIRS Table IDs'!$B$6:$M$1001,12,FALSE)</f>
        <v>1636</v>
      </c>
      <c r="N328" s="436" t="str">
        <f t="shared" si="19"/>
        <v/>
      </c>
      <c r="Q328" s="49"/>
      <c r="R328" s="49"/>
      <c r="S328" s="49"/>
      <c r="T328" s="49"/>
    </row>
    <row r="329" spans="1:20" x14ac:dyDescent="0.2">
      <c r="A329" s="21"/>
      <c r="B329" s="45" t="s">
        <v>170</v>
      </c>
      <c r="C329" s="40">
        <v>2017</v>
      </c>
      <c r="D329" s="40">
        <f>IF(H328&gt;=$E463,G328,G328-1)</f>
        <v>11</v>
      </c>
      <c r="E329" s="37">
        <f>IF(H328-$E463&gt;0,H328-$E463,H328-$E463+$E469)</f>
        <v>0.85000000000000053</v>
      </c>
      <c r="F329" s="40">
        <v>2017</v>
      </c>
      <c r="G329" s="40">
        <v>11</v>
      </c>
      <c r="H329" s="37">
        <v>0.87847222222222199</v>
      </c>
      <c r="I329" s="43">
        <v>606</v>
      </c>
      <c r="J329" s="43">
        <f>IF(I329=50,10,1)</f>
        <v>1</v>
      </c>
      <c r="K329" s="43"/>
      <c r="L329" s="438">
        <f>IF($I329&lt;192,0,IF($I329&gt;597,0, IF(VLOOKUP($I329,'CIRS Table Info'!$B$6:$J$425,3,FALSE)="Co-Add", 0.5,1) * (400 + IF(VLOOKUP($I329,'CIRS Table Info'!$B$6:$J$425,5,FALSE)="Data",1800,0) + IF(VLOOKUP($I329,'CIRS Table Info'!$B$6:$J$425,7,FALSE)="Data",1800,0) )))</f>
        <v>0</v>
      </c>
      <c r="M329" s="438">
        <f>VLOOKUP($B329,'CIRS Table IDs'!$B$6:$M$1001,12,FALSE)</f>
        <v>0</v>
      </c>
      <c r="N329" s="436" t="str">
        <f t="shared" si="19"/>
        <v/>
      </c>
      <c r="Q329" s="49"/>
      <c r="R329" s="49"/>
      <c r="S329" s="49"/>
      <c r="T329" s="49"/>
    </row>
    <row r="330" spans="1:20" x14ac:dyDescent="0.2">
      <c r="A330" s="21">
        <v>132</v>
      </c>
      <c r="B330" s="45" t="s">
        <v>565</v>
      </c>
      <c r="C330" s="36">
        <v>2017</v>
      </c>
      <c r="D330" s="36">
        <v>11</v>
      </c>
      <c r="E330" s="37">
        <v>0.87847222222222199</v>
      </c>
      <c r="F330" s="36">
        <v>2017</v>
      </c>
      <c r="G330" s="36">
        <v>11</v>
      </c>
      <c r="H330" s="37">
        <v>0.94097222222222199</v>
      </c>
      <c r="I330" s="43">
        <v>341</v>
      </c>
      <c r="J330" s="43">
        <v>1</v>
      </c>
      <c r="K330" s="43"/>
      <c r="L330" s="438">
        <f>IF($I330&lt;192,0,IF($I330&gt;597,0, IF(VLOOKUP($I330,'CIRS Table Info'!$B$6:$J$425,3,FALSE)="Co-Add", 0.5,1) * (400 + IF(VLOOKUP($I330,'CIRS Table Info'!$B$6:$J$425,5,FALSE)="Data",1800,0) + IF(VLOOKUP($I330,'CIRS Table Info'!$B$6:$J$425,7,FALSE)="Data",1800,0) )))</f>
        <v>4000</v>
      </c>
      <c r="M330" s="438">
        <f>VLOOKUP($B330,'CIRS Table IDs'!$B$6:$M$1001,12,FALSE)</f>
        <v>4000</v>
      </c>
      <c r="N330" s="436" t="str">
        <f t="shared" si="19"/>
        <v/>
      </c>
      <c r="Q330" s="49"/>
      <c r="R330" s="49"/>
      <c r="S330" s="49"/>
      <c r="T330" s="49"/>
    </row>
    <row r="331" spans="1:20" x14ac:dyDescent="0.2">
      <c r="A331" s="21"/>
      <c r="B331" s="45" t="s">
        <v>171</v>
      </c>
      <c r="C331" s="40">
        <v>2017</v>
      </c>
      <c r="D331" s="40">
        <f>IF(H330&gt;=$E463,G330,G330-1)</f>
        <v>11</v>
      </c>
      <c r="E331" s="37">
        <f>IF(H330-$E463&gt;0,H330-$E463,H330-$E463+$E469)</f>
        <v>0.94027777777777755</v>
      </c>
      <c r="F331" s="40">
        <v>2017</v>
      </c>
      <c r="G331" s="40">
        <v>11</v>
      </c>
      <c r="H331" s="37">
        <v>0.94097222222222199</v>
      </c>
      <c r="I331" s="43">
        <v>602</v>
      </c>
      <c r="J331" s="43">
        <f>IF(I331=50,10,1)</f>
        <v>1</v>
      </c>
      <c r="K331" s="43"/>
      <c r="L331" s="438">
        <f>IF($I331&lt;192,0,IF($I331&gt;597,0, IF(VLOOKUP($I331,'CIRS Table Info'!$B$6:$J$425,3,FALSE)="Co-Add", 0.5,1) * (400 + IF(VLOOKUP($I331,'CIRS Table Info'!$B$6:$J$425,5,FALSE)="Data",1800,0) + IF(VLOOKUP($I331,'CIRS Table Info'!$B$6:$J$425,7,FALSE)="Data",1800,0) )))</f>
        <v>0</v>
      </c>
      <c r="M331" s="438">
        <f>VLOOKUP($B331,'CIRS Table IDs'!$B$6:$M$1001,12,FALSE)</f>
        <v>0</v>
      </c>
      <c r="N331" s="436" t="str">
        <f t="shared" si="19"/>
        <v/>
      </c>
      <c r="Q331" s="49"/>
      <c r="R331" s="49"/>
      <c r="S331" s="49"/>
      <c r="T331" s="49"/>
    </row>
    <row r="332" spans="1:20" x14ac:dyDescent="0.2">
      <c r="A332" s="21">
        <v>133</v>
      </c>
      <c r="B332" s="45" t="s">
        <v>566</v>
      </c>
      <c r="C332" s="36">
        <v>2017</v>
      </c>
      <c r="D332" s="36">
        <v>11</v>
      </c>
      <c r="E332" s="37">
        <v>0.94097222222222199</v>
      </c>
      <c r="F332" s="36">
        <v>2017</v>
      </c>
      <c r="G332" s="36">
        <v>12</v>
      </c>
      <c r="H332" s="37">
        <v>0.66458333333333297</v>
      </c>
      <c r="I332" s="43">
        <v>572</v>
      </c>
      <c r="J332" s="43">
        <v>3</v>
      </c>
      <c r="K332" s="43"/>
      <c r="L332" s="438">
        <f>IF($I332&lt;192,0,IF($I332&gt;597,0, IF(VLOOKUP($I332,'CIRS Table Info'!$B$6:$J$425,3,FALSE)="Co-Add", 0.5,1) * (400 + IF(VLOOKUP($I332,'CIRS Table Info'!$B$6:$J$425,5,FALSE)="Data",1800,0) + IF(VLOOKUP($I332,'CIRS Table Info'!$B$6:$J$425,7,FALSE)="Data",1800,0) )))</f>
        <v>2000</v>
      </c>
      <c r="M332" s="438">
        <f>VLOOKUP($B332,'CIRS Table IDs'!$B$6:$M$1001,12,FALSE)</f>
        <v>2000</v>
      </c>
      <c r="N332" s="436" t="str">
        <f t="shared" si="19"/>
        <v/>
      </c>
      <c r="Q332" s="49"/>
      <c r="R332" s="49"/>
      <c r="S332" s="49"/>
      <c r="T332" s="49"/>
    </row>
    <row r="333" spans="1:20" x14ac:dyDescent="0.2">
      <c r="A333" s="21"/>
      <c r="B333" s="45" t="s">
        <v>172</v>
      </c>
      <c r="C333" s="40">
        <v>2017</v>
      </c>
      <c r="D333" s="40">
        <f>IF(H332&gt;=$E463,G332,G332-1)</f>
        <v>12</v>
      </c>
      <c r="E333" s="37">
        <f>IF(H332-$E463&gt;0,H332-$E463,H332-$E463+$E469)</f>
        <v>0.66388888888888853</v>
      </c>
      <c r="F333" s="40">
        <v>2017</v>
      </c>
      <c r="G333" s="40">
        <v>12</v>
      </c>
      <c r="H333" s="37">
        <v>0.79652777777777795</v>
      </c>
      <c r="I333" s="43">
        <v>50</v>
      </c>
      <c r="J333" s="43">
        <f>IF(I333=50,10,1)</f>
        <v>10</v>
      </c>
      <c r="K333" s="43"/>
      <c r="L333" s="438">
        <f>IF($I333&lt;192,0,IF($I333&gt;597,0, IF(VLOOKUP($I333,'CIRS Table Info'!$B$6:$J$425,3,FALSE)="Co-Add", 0.5,1) * (400 + IF(VLOOKUP($I333,'CIRS Table Info'!$B$6:$J$425,5,FALSE)="Data",1800,0) + IF(VLOOKUP($I333,'CIRS Table Info'!$B$6:$J$425,7,FALSE)="Data",1800,0) )))</f>
        <v>0</v>
      </c>
      <c r="M333" s="438">
        <f>VLOOKUP($B333,'CIRS Table IDs'!$B$6:$M$1001,12,FALSE)</f>
        <v>0</v>
      </c>
      <c r="N333" s="436" t="str">
        <f t="shared" si="19"/>
        <v/>
      </c>
      <c r="Q333" s="49"/>
      <c r="R333" s="49"/>
      <c r="S333" s="49"/>
      <c r="T333" s="49"/>
    </row>
    <row r="334" spans="1:20" x14ac:dyDescent="0.2">
      <c r="A334" s="21">
        <v>134</v>
      </c>
      <c r="B334" s="45" t="s">
        <v>567</v>
      </c>
      <c r="C334" s="36">
        <v>2017</v>
      </c>
      <c r="D334" s="36">
        <v>12</v>
      </c>
      <c r="E334" s="37">
        <v>0.79652777777777795</v>
      </c>
      <c r="F334" s="36">
        <v>2017</v>
      </c>
      <c r="G334" s="36">
        <v>13</v>
      </c>
      <c r="H334" s="37">
        <v>0.12986111111111101</v>
      </c>
      <c r="I334" s="43">
        <v>883</v>
      </c>
      <c r="J334" s="43">
        <f>IF(I334=50,10,1)</f>
        <v>1</v>
      </c>
      <c r="K334" s="43"/>
      <c r="L334" s="438">
        <f>IF($I334&lt;192,0,IF($I334&gt;597,0, IF(VLOOKUP($I334,'CIRS Table Info'!$B$6:$J$425,3,FALSE)="Co-Add", 0.5,1) * (400 + IF(VLOOKUP($I334,'CIRS Table Info'!$B$6:$J$425,5,FALSE)="Data",1800,0) + IF(VLOOKUP($I334,'CIRS Table Info'!$B$6:$J$425,7,FALSE)="Data",1800,0) )))</f>
        <v>0</v>
      </c>
      <c r="M334" s="438">
        <f>VLOOKUP($B334,'CIRS Table IDs'!$B$6:$M$1001,12,FALSE)</f>
        <v>3000</v>
      </c>
      <c r="N334" s="436" t="str">
        <f t="shared" si="19"/>
        <v/>
      </c>
      <c r="Q334" s="49"/>
      <c r="R334" s="49"/>
      <c r="S334" s="49"/>
      <c r="T334" s="49"/>
    </row>
    <row r="335" spans="1:20" x14ac:dyDescent="0.2">
      <c r="A335" s="21"/>
      <c r="B335" s="45" t="s">
        <v>173</v>
      </c>
      <c r="C335" s="40">
        <v>2017</v>
      </c>
      <c r="D335" s="40">
        <f>IF(H334&gt;=$E463,G334,G334-1)</f>
        <v>13</v>
      </c>
      <c r="E335" s="37">
        <f>IF(H334-$E463&gt;0,H334-$E463,H334-$E463+$E469)</f>
        <v>0.12916666666666657</v>
      </c>
      <c r="F335" s="40">
        <v>2017</v>
      </c>
      <c r="G335" s="40">
        <v>13</v>
      </c>
      <c r="H335" s="37">
        <v>0.15763888888888899</v>
      </c>
      <c r="I335" s="43">
        <v>606</v>
      </c>
      <c r="J335" s="43">
        <f>IF(I335=50,10,1)</f>
        <v>1</v>
      </c>
      <c r="K335" s="43"/>
      <c r="L335" s="438">
        <f>IF($I335&lt;192,0,IF($I335&gt;597,0, IF(VLOOKUP($I335,'CIRS Table Info'!$B$6:$J$425,3,FALSE)="Co-Add", 0.5,1) * (400 + IF(VLOOKUP($I335,'CIRS Table Info'!$B$6:$J$425,5,FALSE)="Data",1800,0) + IF(VLOOKUP($I335,'CIRS Table Info'!$B$6:$J$425,7,FALSE)="Data",1800,0) )))</f>
        <v>0</v>
      </c>
      <c r="M335" s="438">
        <f>VLOOKUP($B335,'CIRS Table IDs'!$B$6:$M$1001,12,FALSE)</f>
        <v>0</v>
      </c>
      <c r="N335" s="436" t="str">
        <f t="shared" si="19"/>
        <v/>
      </c>
      <c r="Q335" s="49"/>
      <c r="R335" s="49"/>
      <c r="S335" s="49"/>
      <c r="T335" s="49"/>
    </row>
    <row r="336" spans="1:20" x14ac:dyDescent="0.2">
      <c r="A336" s="21">
        <v>135</v>
      </c>
      <c r="B336" s="45" t="s">
        <v>568</v>
      </c>
      <c r="C336" s="36">
        <v>2017</v>
      </c>
      <c r="D336" s="36">
        <v>13</v>
      </c>
      <c r="E336" s="37">
        <v>0.15763888888888899</v>
      </c>
      <c r="F336" s="36">
        <v>2017</v>
      </c>
      <c r="G336" s="36">
        <v>13</v>
      </c>
      <c r="H336" s="37">
        <v>0.22013888888888899</v>
      </c>
      <c r="I336" s="43">
        <v>341</v>
      </c>
      <c r="J336" s="43">
        <v>1</v>
      </c>
      <c r="K336" s="43"/>
      <c r="L336" s="438">
        <f>IF($I336&lt;192,0,IF($I336&gt;597,0, IF(VLOOKUP($I336,'CIRS Table Info'!$B$6:$J$425,3,FALSE)="Co-Add", 0.5,1) * (400 + IF(VLOOKUP($I336,'CIRS Table Info'!$B$6:$J$425,5,FALSE)="Data",1800,0) + IF(VLOOKUP($I336,'CIRS Table Info'!$B$6:$J$425,7,FALSE)="Data",1800,0) )))</f>
        <v>4000</v>
      </c>
      <c r="M336" s="438">
        <f>VLOOKUP($B336,'CIRS Table IDs'!$B$6:$M$1001,12,FALSE)</f>
        <v>4000</v>
      </c>
      <c r="N336" s="436" t="str">
        <f t="shared" si="19"/>
        <v/>
      </c>
      <c r="Q336" s="49"/>
      <c r="R336" s="49"/>
      <c r="S336" s="49"/>
      <c r="T336" s="49"/>
    </row>
    <row r="337" spans="1:20" x14ac:dyDescent="0.2">
      <c r="A337" s="21"/>
      <c r="B337" s="45" t="s">
        <v>174</v>
      </c>
      <c r="C337" s="40">
        <v>2017</v>
      </c>
      <c r="D337" s="40">
        <f>IF(H336&gt;=$E463,G336,G336-1)</f>
        <v>13</v>
      </c>
      <c r="E337" s="37">
        <f>IF(H336-$E463&gt;0,H336-$E463,H336-$E463+$E469)</f>
        <v>0.21944444444444455</v>
      </c>
      <c r="F337" s="40">
        <v>2017</v>
      </c>
      <c r="G337" s="40">
        <v>13</v>
      </c>
      <c r="H337" s="37">
        <v>0.28958333333333303</v>
      </c>
      <c r="I337" s="43">
        <v>606</v>
      </c>
      <c r="J337" s="43">
        <f>IF(I337=50,10,1)</f>
        <v>1</v>
      </c>
      <c r="K337" s="43"/>
      <c r="L337" s="438">
        <f>IF($I337&lt;192,0,IF($I337&gt;597,0, IF(VLOOKUP($I337,'CIRS Table Info'!$B$6:$J$425,3,FALSE)="Co-Add", 0.5,1) * (400 + IF(VLOOKUP($I337,'CIRS Table Info'!$B$6:$J$425,5,FALSE)="Data",1800,0) + IF(VLOOKUP($I337,'CIRS Table Info'!$B$6:$J$425,7,FALSE)="Data",1800,0) )))</f>
        <v>0</v>
      </c>
      <c r="M337" s="438">
        <f>VLOOKUP($B337,'CIRS Table IDs'!$B$6:$M$1001,12,FALSE)</f>
        <v>0</v>
      </c>
      <c r="N337" s="436" t="str">
        <f t="shared" si="19"/>
        <v/>
      </c>
      <c r="Q337" s="49"/>
      <c r="R337" s="49"/>
      <c r="S337" s="49"/>
      <c r="T337" s="49"/>
    </row>
    <row r="338" spans="1:20" x14ac:dyDescent="0.2">
      <c r="A338" s="21">
        <v>136</v>
      </c>
      <c r="B338" s="45" t="s">
        <v>569</v>
      </c>
      <c r="C338" s="36">
        <v>2017</v>
      </c>
      <c r="D338" s="36">
        <v>13</v>
      </c>
      <c r="E338" s="37">
        <v>0.28958333333333303</v>
      </c>
      <c r="F338" s="36">
        <f>IF($G338&gt;=$D338,$C338,$C338+1)</f>
        <v>2017</v>
      </c>
      <c r="G338" s="36">
        <f>IF(MOD($C$5,4)&lt;&gt;0,IF($D338+IF($H338&gt;=$E338,0,IF($H338+$E469&gt;=$E338,1,2))&gt;365,1,$D338+IF($H338&gt;=$E338,0,IF($H338+$E469&gt;=$E338,1,2))),IF($D338+IF($H338&gt;=$E338,0,IF($H338+$E469&gt;=$E338,1,2))&gt;366,1,$D338+IF($H338&gt;=$E338,0,IF($H338+$E469&gt;=$E338,1,2))))</f>
        <v>13</v>
      </c>
      <c r="H338" s="37">
        <f>IF(E338 + TIMEVALUE("00:10:00")&gt;=1,E338 + TIMEVALUE("00:10:00")-1,E338 + TIMEVALUE("00:10:00"))</f>
        <v>0.29652777777777745</v>
      </c>
      <c r="I338" s="496">
        <v>297</v>
      </c>
      <c r="J338" s="43">
        <v>1</v>
      </c>
      <c r="K338" s="43"/>
      <c r="L338" s="438">
        <f>IF($I338&lt;192,0,IF($I338&gt;597,0, IF(VLOOKUP($I338,'CIRS Table Info'!$B$6:$J$425,3,FALSE)="Co-Add", 0.5,1) * (400 + IF(VLOOKUP($I338,'CIRS Table Info'!$B$6:$J$425,5,FALSE)="Data",1800,0) + IF(VLOOKUP($I338,'CIRS Table Info'!$B$6:$J$425,7,FALSE)="Data",1800,0) )))</f>
        <v>2000</v>
      </c>
      <c r="M338" s="438">
        <f>VLOOKUP($B338,'CIRS Table IDs'!$B$6:$M$1001,12,FALSE)</f>
        <v>2000</v>
      </c>
      <c r="N338" s="436" t="str">
        <f t="shared" si="19"/>
        <v/>
      </c>
    </row>
    <row r="339" spans="1:20" x14ac:dyDescent="0.2">
      <c r="A339" s="21"/>
      <c r="B339" s="45" t="s">
        <v>569</v>
      </c>
      <c r="C339" s="36">
        <f>$F338</f>
        <v>2017</v>
      </c>
      <c r="D339" s="36">
        <f>$G338</f>
        <v>13</v>
      </c>
      <c r="E339" s="37">
        <f>IF(E338 + TIMEVALUE("00:10:00")&gt;=1,E338 + TIMEVALUE("00:10:00")-1,E338 + TIMEVALUE("00:10:00"))</f>
        <v>0.29652777777777745</v>
      </c>
      <c r="F339" s="36">
        <f>IF($G339&gt;=$D339,$C339,$C339+1)</f>
        <v>2017</v>
      </c>
      <c r="G339" s="36">
        <f>IF(0.659027777777778 - TIMEVALUE("00:10:00")&gt;=0, 13, 12)</f>
        <v>13</v>
      </c>
      <c r="H339" s="37">
        <f>IF(0.659027777777778 - TIMEVALUE("00:10:00")&gt;=0, 0.659027777777778 - TIMEVALUE("00:10:00"), 0.659027777777778 - TIMEVALUE("00:10:00") +$E469)</f>
        <v>0.65208333333333357</v>
      </c>
      <c r="I339" s="496">
        <v>294</v>
      </c>
      <c r="J339" s="43">
        <v>1</v>
      </c>
      <c r="K339" s="43"/>
      <c r="L339" s="438">
        <f>IF($I339&lt;192,0,IF($I339&gt;597,0, IF(VLOOKUP($I339,'CIRS Table Info'!$B$6:$J$425,3,FALSE)="Co-Add", 0.5,1) * (400 + IF(VLOOKUP($I339,'CIRS Table Info'!$B$6:$J$425,5,FALSE)="Data",1800,0) + IF(VLOOKUP($I339,'CIRS Table Info'!$B$6:$J$425,7,FALSE)="Data",1800,0) )))</f>
        <v>2000</v>
      </c>
      <c r="M339" s="438">
        <f>VLOOKUP($B339,'CIRS Table IDs'!$B$6:$M$1001,12,FALSE)</f>
        <v>2000</v>
      </c>
      <c r="N339" s="436" t="str">
        <f t="shared" si="19"/>
        <v/>
      </c>
    </row>
    <row r="340" spans="1:20" x14ac:dyDescent="0.2">
      <c r="A340" s="21"/>
      <c r="B340" s="45" t="s">
        <v>569</v>
      </c>
      <c r="C340" s="36">
        <f>$F339</f>
        <v>2017</v>
      </c>
      <c r="D340" s="36">
        <f>$G339</f>
        <v>13</v>
      </c>
      <c r="E340" s="37">
        <f>IF(0.659027777777778 - TIMEVALUE("00:10:00")&gt;=0, 0.659027777777778 - TIMEVALUE("00:10:00"), 0.659027777777778 - TIMEVALUE("00:10:00") +$E469)</f>
        <v>0.65208333333333357</v>
      </c>
      <c r="F340" s="36">
        <f>IF($G340&gt;=$D340,$C340,$C340+1)</f>
        <v>2017</v>
      </c>
      <c r="G340" s="36">
        <v>13</v>
      </c>
      <c r="H340" s="37">
        <v>0.65902777777777799</v>
      </c>
      <c r="I340" s="496">
        <v>297</v>
      </c>
      <c r="J340" s="43">
        <v>1</v>
      </c>
      <c r="K340" s="43"/>
      <c r="L340" s="438">
        <f>IF($I340&lt;192,0,IF($I340&gt;597,0, IF(VLOOKUP($I340,'CIRS Table Info'!$B$6:$J$425,3,FALSE)="Co-Add", 0.5,1) * (400 + IF(VLOOKUP($I340,'CIRS Table Info'!$B$6:$J$425,5,FALSE)="Data",1800,0) + IF(VLOOKUP($I340,'CIRS Table Info'!$B$6:$J$425,7,FALSE)="Data",1800,0) )))</f>
        <v>2000</v>
      </c>
      <c r="M340" s="438">
        <f>VLOOKUP($B340,'CIRS Table IDs'!$B$6:$M$1001,12,FALSE)</f>
        <v>2000</v>
      </c>
      <c r="N340" s="436" t="str">
        <f t="shared" si="19"/>
        <v/>
      </c>
    </row>
    <row r="341" spans="1:20" x14ac:dyDescent="0.2">
      <c r="A341" s="21"/>
      <c r="B341" s="45" t="s">
        <v>175</v>
      </c>
      <c r="C341" s="36">
        <v>2017</v>
      </c>
      <c r="D341" s="36">
        <f>IF(H340&gt;=$E463,G340,G340-1)</f>
        <v>13</v>
      </c>
      <c r="E341" s="37">
        <f>IF(H340-$E463&gt;0,H340-$E463,H340-$E463+$E469)</f>
        <v>0.65833333333333355</v>
      </c>
      <c r="F341" s="40">
        <v>2017</v>
      </c>
      <c r="G341" s="40">
        <v>13</v>
      </c>
      <c r="H341" s="37">
        <v>0.79097222222222197</v>
      </c>
      <c r="I341" s="43">
        <v>50</v>
      </c>
      <c r="J341" s="43">
        <f>IF(I341=50,10,1)</f>
        <v>10</v>
      </c>
      <c r="K341" s="43"/>
      <c r="L341" s="438">
        <f>IF($I341&lt;192,0,IF($I341&gt;597,0, IF(VLOOKUP($I341,'CIRS Table Info'!$B$6:$J$425,3,FALSE)="Co-Add", 0.5,1) * (400 + IF(VLOOKUP($I341,'CIRS Table Info'!$B$6:$J$425,5,FALSE)="Data",1800,0) + IF(VLOOKUP($I341,'CIRS Table Info'!$B$6:$J$425,7,FALSE)="Data",1800,0) )))</f>
        <v>0</v>
      </c>
      <c r="M341" s="438">
        <f>VLOOKUP($B341,'CIRS Table IDs'!$B$6:$M$1001,12,FALSE)</f>
        <v>0</v>
      </c>
      <c r="N341" s="436" t="str">
        <f t="shared" si="19"/>
        <v/>
      </c>
    </row>
    <row r="342" spans="1:20" x14ac:dyDescent="0.2">
      <c r="A342" s="21">
        <v>137</v>
      </c>
      <c r="B342" s="45" t="s">
        <v>570</v>
      </c>
      <c r="C342" s="36">
        <v>2017</v>
      </c>
      <c r="D342" s="36">
        <v>13</v>
      </c>
      <c r="E342" s="37">
        <v>0.79097222222222197</v>
      </c>
      <c r="F342" s="36">
        <v>2017</v>
      </c>
      <c r="G342" s="36">
        <v>14</v>
      </c>
      <c r="H342" s="37">
        <v>0.124305555555556</v>
      </c>
      <c r="I342" s="43">
        <v>886</v>
      </c>
      <c r="J342" s="43">
        <f>IF(I342=50,10,1)</f>
        <v>1</v>
      </c>
      <c r="K342" s="43"/>
      <c r="L342" s="438">
        <f>IF($I342&lt;192,0,IF($I342&gt;597,0, IF(VLOOKUP($I342,'CIRS Table Info'!$B$6:$J$425,3,FALSE)="Co-Add", 0.5,1) * (400 + IF(VLOOKUP($I342,'CIRS Table Info'!$B$6:$J$425,5,FALSE)="Data",1800,0) + IF(VLOOKUP($I342,'CIRS Table Info'!$B$6:$J$425,7,FALSE)="Data",1800,0) )))</f>
        <v>0</v>
      </c>
      <c r="M342" s="438">
        <f>VLOOKUP($B342,'CIRS Table IDs'!$B$6:$M$1001,12,FALSE)</f>
        <v>3000</v>
      </c>
      <c r="N342" s="436" t="str">
        <f t="shared" si="19"/>
        <v/>
      </c>
    </row>
    <row r="343" spans="1:20" x14ac:dyDescent="0.2">
      <c r="A343" s="21"/>
      <c r="B343" s="45" t="s">
        <v>176</v>
      </c>
      <c r="C343" s="40">
        <v>2017</v>
      </c>
      <c r="D343" s="40">
        <f>IF(H342&gt;=$E463,G342,G342-1)</f>
        <v>14</v>
      </c>
      <c r="E343" s="37">
        <f>IF(H342-$E463&gt;0,H342-$E463,H342-$E463+$E469)</f>
        <v>0.12361111111111156</v>
      </c>
      <c r="F343" s="40">
        <v>2017</v>
      </c>
      <c r="G343" s="40">
        <v>14</v>
      </c>
      <c r="H343" s="37">
        <v>0.21458333333333299</v>
      </c>
      <c r="I343" s="43">
        <v>602</v>
      </c>
      <c r="J343" s="43">
        <f>IF(I343=50,10,1)</f>
        <v>1</v>
      </c>
      <c r="K343" s="43"/>
      <c r="L343" s="438">
        <f>IF($I343&lt;192,0,IF($I343&gt;597,0, IF(VLOOKUP($I343,'CIRS Table Info'!$B$6:$J$425,3,FALSE)="Co-Add", 0.5,1) * (400 + IF(VLOOKUP($I343,'CIRS Table Info'!$B$6:$J$425,5,FALSE)="Data",1800,0) + IF(VLOOKUP($I343,'CIRS Table Info'!$B$6:$J$425,7,FALSE)="Data",1800,0) )))</f>
        <v>0</v>
      </c>
      <c r="M343" s="438">
        <f>VLOOKUP($B343,'CIRS Table IDs'!$B$6:$M$1001,12,FALSE)</f>
        <v>0</v>
      </c>
      <c r="N343" s="436" t="str">
        <f t="shared" si="19"/>
        <v/>
      </c>
    </row>
    <row r="344" spans="1:20" x14ac:dyDescent="0.2">
      <c r="A344" s="21">
        <v>138</v>
      </c>
      <c r="B344" s="45" t="s">
        <v>571</v>
      </c>
      <c r="C344" s="36">
        <v>2017</v>
      </c>
      <c r="D344" s="36">
        <v>14</v>
      </c>
      <c r="E344" s="37">
        <v>0.21458333333333299</v>
      </c>
      <c r="F344" s="36">
        <v>2017</v>
      </c>
      <c r="G344" s="36">
        <v>14</v>
      </c>
      <c r="H344" s="37">
        <v>0.45138888888888901</v>
      </c>
      <c r="I344" s="43">
        <v>572</v>
      </c>
      <c r="J344" s="43">
        <v>1</v>
      </c>
      <c r="K344" s="43"/>
      <c r="L344" s="438">
        <f>IF($I344&lt;192,0,IF($I344&gt;597,0, IF(VLOOKUP($I344,'CIRS Table Info'!$B$6:$J$425,3,FALSE)="Co-Add", 0.5,1) * (400 + IF(VLOOKUP($I344,'CIRS Table Info'!$B$6:$J$425,5,FALSE)="Data",1800,0) + IF(VLOOKUP($I344,'CIRS Table Info'!$B$6:$J$425,7,FALSE)="Data",1800,0) )))</f>
        <v>2000</v>
      </c>
      <c r="M344" s="438">
        <f>VLOOKUP($B344,'CIRS Table IDs'!$B$6:$M$1001,12,FALSE)</f>
        <v>2000</v>
      </c>
      <c r="N344" s="436" t="str">
        <f t="shared" si="19"/>
        <v/>
      </c>
    </row>
    <row r="345" spans="1:20" x14ac:dyDescent="0.2">
      <c r="A345" s="21"/>
      <c r="B345" s="45" t="s">
        <v>177</v>
      </c>
      <c r="C345" s="40">
        <v>2017</v>
      </c>
      <c r="D345" s="40">
        <f>IF(H344&gt;=$E463,G344,G344-1)</f>
        <v>14</v>
      </c>
      <c r="E345" s="37">
        <f>IF(H344-$E463&gt;0,H344-$E463,H344-$E463+$E469)</f>
        <v>0.45069444444444456</v>
      </c>
      <c r="F345" s="40">
        <v>2017</v>
      </c>
      <c r="G345" s="40">
        <v>14</v>
      </c>
      <c r="H345" s="37">
        <v>0.45138888888888901</v>
      </c>
      <c r="I345" s="43">
        <v>606</v>
      </c>
      <c r="J345" s="43">
        <f>IF(I345=50,10,1)</f>
        <v>1</v>
      </c>
      <c r="K345" s="43"/>
      <c r="L345" s="438">
        <f>IF($I345&lt;192,0,IF($I345&gt;597,0, IF(VLOOKUP($I345,'CIRS Table Info'!$B$6:$J$425,3,FALSE)="Co-Add", 0.5,1) * (400 + IF(VLOOKUP($I345,'CIRS Table Info'!$B$6:$J$425,5,FALSE)="Data",1800,0) + IF(VLOOKUP($I345,'CIRS Table Info'!$B$6:$J$425,7,FALSE)="Data",1800,0) )))</f>
        <v>0</v>
      </c>
      <c r="M345" s="438">
        <f>VLOOKUP($B345,'CIRS Table IDs'!$B$6:$M$1001,12,FALSE)</f>
        <v>0</v>
      </c>
      <c r="N345" s="436" t="str">
        <f t="shared" si="19"/>
        <v/>
      </c>
    </row>
    <row r="346" spans="1:20" x14ac:dyDescent="0.2">
      <c r="A346" s="21">
        <v>139</v>
      </c>
      <c r="B346" s="45" t="s">
        <v>572</v>
      </c>
      <c r="C346" s="36">
        <v>2017</v>
      </c>
      <c r="D346" s="36">
        <v>14</v>
      </c>
      <c r="E346" s="37">
        <v>0.45138888888888901</v>
      </c>
      <c r="F346" s="36">
        <v>2017</v>
      </c>
      <c r="G346" s="36">
        <v>14</v>
      </c>
      <c r="H346" s="37">
        <v>0.70138888888888895</v>
      </c>
      <c r="I346" s="43">
        <v>596</v>
      </c>
      <c r="J346" s="43">
        <v>1</v>
      </c>
      <c r="K346" s="43"/>
      <c r="L346" s="438">
        <f>IF($I346&lt;192,0,IF($I346&gt;597,0, IF(VLOOKUP($I346,'CIRS Table Info'!$B$6:$J$425,3,FALSE)="Co-Add", 0.5,1) * (400 + IF(VLOOKUP($I346,'CIRS Table Info'!$B$6:$J$425,5,FALSE)="Data",1800,0) + IF(VLOOKUP($I346,'CIRS Table Info'!$B$6:$J$425,7,FALSE)="Data",1800,0) )))</f>
        <v>2000</v>
      </c>
      <c r="M346" s="438">
        <f>VLOOKUP($B346,'CIRS Table IDs'!$B$6:$M$1001,12,FALSE)</f>
        <v>2000</v>
      </c>
      <c r="N346" s="436" t="str">
        <f t="shared" si="19"/>
        <v/>
      </c>
    </row>
    <row r="347" spans="1:20" x14ac:dyDescent="0.2">
      <c r="A347" s="21"/>
      <c r="B347" s="45" t="s">
        <v>178</v>
      </c>
      <c r="C347" s="40">
        <v>2017</v>
      </c>
      <c r="D347" s="40">
        <f>IF(H346&gt;=$E463,G346,G346-1)</f>
        <v>14</v>
      </c>
      <c r="E347" s="37">
        <f>IF(H346-$E463&gt;0,H346-$E463,H346-$E463+$E469)</f>
        <v>0.70069444444444451</v>
      </c>
      <c r="F347" s="40">
        <v>2017</v>
      </c>
      <c r="G347" s="40">
        <v>14</v>
      </c>
      <c r="H347" s="37">
        <v>0.70138888888888895</v>
      </c>
      <c r="I347" s="43">
        <v>602</v>
      </c>
      <c r="J347" s="43">
        <f>IF(I347=50,10,1)</f>
        <v>1</v>
      </c>
      <c r="K347" s="43"/>
      <c r="L347" s="438">
        <f>IF($I347&lt;192,0,IF($I347&gt;597,0, IF(VLOOKUP($I347,'CIRS Table Info'!$B$6:$J$425,3,FALSE)="Co-Add", 0.5,1) * (400 + IF(VLOOKUP($I347,'CIRS Table Info'!$B$6:$J$425,5,FALSE)="Data",1800,0) + IF(VLOOKUP($I347,'CIRS Table Info'!$B$6:$J$425,7,FALSE)="Data",1800,0) )))</f>
        <v>0</v>
      </c>
      <c r="M347" s="438">
        <f>VLOOKUP($B347,'CIRS Table IDs'!$B$6:$M$1001,12,FALSE)</f>
        <v>0</v>
      </c>
      <c r="N347" s="436" t="str">
        <f t="shared" si="19"/>
        <v/>
      </c>
    </row>
    <row r="348" spans="1:20" x14ac:dyDescent="0.2">
      <c r="A348" s="21">
        <v>140</v>
      </c>
      <c r="B348" s="45" t="s">
        <v>573</v>
      </c>
      <c r="C348" s="36">
        <v>2017</v>
      </c>
      <c r="D348" s="36">
        <v>14</v>
      </c>
      <c r="E348" s="37">
        <v>0.70138888888888895</v>
      </c>
      <c r="F348" s="36">
        <v>2017</v>
      </c>
      <c r="G348" s="36">
        <v>14</v>
      </c>
      <c r="H348" s="37">
        <v>0.95138888888888895</v>
      </c>
      <c r="I348" s="43">
        <v>572</v>
      </c>
      <c r="J348" s="43">
        <v>1</v>
      </c>
      <c r="K348" s="43"/>
      <c r="L348" s="438">
        <f>IF($I348&lt;192,0,IF($I348&gt;597,0, IF(VLOOKUP($I348,'CIRS Table Info'!$B$6:$J$425,3,FALSE)="Co-Add", 0.5,1) * (400 + IF(VLOOKUP($I348,'CIRS Table Info'!$B$6:$J$425,5,FALSE)="Data",1800,0) + IF(VLOOKUP($I348,'CIRS Table Info'!$B$6:$J$425,7,FALSE)="Data",1800,0) )))</f>
        <v>2000</v>
      </c>
      <c r="M348" s="438">
        <f>VLOOKUP($B348,'CIRS Table IDs'!$B$6:$M$1001,12,FALSE)</f>
        <v>2000</v>
      </c>
      <c r="N348" s="436" t="str">
        <f t="shared" si="19"/>
        <v/>
      </c>
    </row>
    <row r="349" spans="1:20" x14ac:dyDescent="0.2">
      <c r="A349" s="21"/>
      <c r="B349" s="45" t="s">
        <v>179</v>
      </c>
      <c r="C349" s="40">
        <v>2017</v>
      </c>
      <c r="D349" s="40">
        <f>IF(H348&gt;=$E463,G348,G348-1)</f>
        <v>14</v>
      </c>
      <c r="E349" s="37">
        <f>IF(H348-$E463&gt;0,H348-$E463,H348-$E463+$E469)</f>
        <v>0.95069444444444451</v>
      </c>
      <c r="F349" s="40">
        <v>2017</v>
      </c>
      <c r="G349" s="40">
        <v>14</v>
      </c>
      <c r="H349" s="37">
        <v>0.95138888888888895</v>
      </c>
      <c r="I349" s="43">
        <v>602</v>
      </c>
      <c r="J349" s="43">
        <f>IF(I349=50,10,1)</f>
        <v>1</v>
      </c>
      <c r="K349" s="43"/>
      <c r="L349" s="438">
        <f>IF($I349&lt;192,0,IF($I349&gt;597,0, IF(VLOOKUP($I349,'CIRS Table Info'!$B$6:$J$425,3,FALSE)="Co-Add", 0.5,1) * (400 + IF(VLOOKUP($I349,'CIRS Table Info'!$B$6:$J$425,5,FALSE)="Data",1800,0) + IF(VLOOKUP($I349,'CIRS Table Info'!$B$6:$J$425,7,FALSE)="Data",1800,0) )))</f>
        <v>0</v>
      </c>
      <c r="M349" s="438">
        <f>VLOOKUP($B349,'CIRS Table IDs'!$B$6:$M$1001,12,FALSE)</f>
        <v>0</v>
      </c>
      <c r="N349" s="436" t="str">
        <f t="shared" si="19"/>
        <v/>
      </c>
    </row>
    <row r="350" spans="1:20" x14ac:dyDescent="0.2">
      <c r="A350" s="21">
        <v>141</v>
      </c>
      <c r="B350" s="45" t="s">
        <v>574</v>
      </c>
      <c r="C350" s="36">
        <v>2017</v>
      </c>
      <c r="D350" s="36">
        <v>14</v>
      </c>
      <c r="E350" s="37">
        <v>0.95138888888888895</v>
      </c>
      <c r="F350" s="36">
        <v>2017</v>
      </c>
      <c r="G350" s="36">
        <v>15</v>
      </c>
      <c r="H350" s="37">
        <v>0.40972222222222199</v>
      </c>
      <c r="I350" s="43">
        <v>572</v>
      </c>
      <c r="J350" s="43">
        <v>2</v>
      </c>
      <c r="K350" s="43"/>
      <c r="L350" s="438">
        <f>IF($I350&lt;192,0,IF($I350&gt;597,0, IF(VLOOKUP($I350,'CIRS Table Info'!$B$6:$J$425,3,FALSE)="Co-Add", 0.5,1) * (400 + IF(VLOOKUP($I350,'CIRS Table Info'!$B$6:$J$425,5,FALSE)="Data",1800,0) + IF(VLOOKUP($I350,'CIRS Table Info'!$B$6:$J$425,7,FALSE)="Data",1800,0) )))</f>
        <v>2000</v>
      </c>
      <c r="M350" s="438">
        <f>VLOOKUP($B350,'CIRS Table IDs'!$B$6:$M$1001,12,FALSE)</f>
        <v>2000</v>
      </c>
      <c r="N350" s="436" t="str">
        <f t="shared" si="19"/>
        <v/>
      </c>
    </row>
    <row r="351" spans="1:20" x14ac:dyDescent="0.2">
      <c r="A351" s="21"/>
      <c r="B351" s="45" t="s">
        <v>180</v>
      </c>
      <c r="C351" s="40">
        <v>2017</v>
      </c>
      <c r="D351" s="40">
        <f>IF(H350&gt;=$E463,G350,G350-1)</f>
        <v>15</v>
      </c>
      <c r="E351" s="37">
        <f>IF(H350-$E463&gt;0,H350-$E463,H350-$E463+$E469)</f>
        <v>0.40902777777777755</v>
      </c>
      <c r="F351" s="40">
        <v>2017</v>
      </c>
      <c r="G351" s="40">
        <v>15</v>
      </c>
      <c r="H351" s="37">
        <v>0.54166666666666696</v>
      </c>
      <c r="I351" s="43">
        <v>50</v>
      </c>
      <c r="J351" s="43">
        <f>IF(I351=50,10,1)</f>
        <v>10</v>
      </c>
      <c r="K351" s="43"/>
      <c r="L351" s="438">
        <f>IF($I351&lt;192,0,IF($I351&gt;597,0, IF(VLOOKUP($I351,'CIRS Table Info'!$B$6:$J$425,3,FALSE)="Co-Add", 0.5,1) * (400 + IF(VLOOKUP($I351,'CIRS Table Info'!$B$6:$J$425,5,FALSE)="Data",1800,0) + IF(VLOOKUP($I351,'CIRS Table Info'!$B$6:$J$425,7,FALSE)="Data",1800,0) )))</f>
        <v>0</v>
      </c>
      <c r="M351" s="438">
        <f>VLOOKUP($B351,'CIRS Table IDs'!$B$6:$M$1001,12,FALSE)</f>
        <v>0</v>
      </c>
      <c r="N351" s="436" t="str">
        <f t="shared" si="19"/>
        <v/>
      </c>
    </row>
    <row r="352" spans="1:20" x14ac:dyDescent="0.2">
      <c r="A352" s="21">
        <v>142</v>
      </c>
      <c r="B352" s="45" t="s">
        <v>575</v>
      </c>
      <c r="C352" s="36">
        <v>2017</v>
      </c>
      <c r="D352" s="36">
        <v>15</v>
      </c>
      <c r="E352" s="37">
        <v>0.54166666666666696</v>
      </c>
      <c r="F352" s="36">
        <v>2017</v>
      </c>
      <c r="G352" s="36">
        <v>15</v>
      </c>
      <c r="H352" s="37">
        <v>0.75555555555555598</v>
      </c>
      <c r="I352" s="43">
        <v>891</v>
      </c>
      <c r="J352" s="43">
        <f>IF(I352=50,10,1)</f>
        <v>1</v>
      </c>
      <c r="K352" s="43"/>
      <c r="L352" s="438">
        <f>IF($I352&lt;192,0,IF($I352&gt;597,0, IF(VLOOKUP($I352,'CIRS Table Info'!$B$6:$J$425,3,FALSE)="Co-Add", 0.5,1) * (400 + IF(VLOOKUP($I352,'CIRS Table Info'!$B$6:$J$425,5,FALSE)="Data",1800,0) + IF(VLOOKUP($I352,'CIRS Table Info'!$B$6:$J$425,7,FALSE)="Data",1800,0) )))</f>
        <v>0</v>
      </c>
      <c r="M352" s="438">
        <f>VLOOKUP($B352,'CIRS Table IDs'!$B$6:$M$1001,12,FALSE)</f>
        <v>3000</v>
      </c>
      <c r="N352" s="436" t="str">
        <f t="shared" si="19"/>
        <v/>
      </c>
    </row>
    <row r="353" spans="1:14" x14ac:dyDescent="0.2">
      <c r="A353" s="21"/>
      <c r="B353" s="45" t="s">
        <v>181</v>
      </c>
      <c r="C353" s="40">
        <v>2017</v>
      </c>
      <c r="D353" s="40">
        <f>IF(H352&gt;=$E463,G352,G352-1)</f>
        <v>15</v>
      </c>
      <c r="E353" s="37">
        <f>IF(H352-$E463&gt;0,H352-$E463,H352-$E463+$E469)</f>
        <v>0.75486111111111154</v>
      </c>
      <c r="F353" s="40">
        <v>2017</v>
      </c>
      <c r="G353" s="40">
        <v>16</v>
      </c>
      <c r="H353" s="37">
        <v>6.5277777777777796E-2</v>
      </c>
      <c r="I353" s="43">
        <v>602</v>
      </c>
      <c r="J353" s="43">
        <f>IF(I353=50,10,1)</f>
        <v>1</v>
      </c>
      <c r="K353" s="43"/>
      <c r="L353" s="438">
        <f>IF($I353&lt;192,0,IF($I353&gt;597,0, IF(VLOOKUP($I353,'CIRS Table Info'!$B$6:$J$425,3,FALSE)="Co-Add", 0.5,1) * (400 + IF(VLOOKUP($I353,'CIRS Table Info'!$B$6:$J$425,5,FALSE)="Data",1800,0) + IF(VLOOKUP($I353,'CIRS Table Info'!$B$6:$J$425,7,FALSE)="Data",1800,0) )))</f>
        <v>0</v>
      </c>
      <c r="M353" s="438">
        <f>VLOOKUP($B353,'CIRS Table IDs'!$B$6:$M$1001,12,FALSE)</f>
        <v>0</v>
      </c>
      <c r="N353" s="436" t="str">
        <f t="shared" si="19"/>
        <v/>
      </c>
    </row>
    <row r="354" spans="1:14" x14ac:dyDescent="0.2">
      <c r="A354" s="21">
        <v>143</v>
      </c>
      <c r="B354" s="45" t="s">
        <v>576</v>
      </c>
      <c r="C354" s="36">
        <v>2017</v>
      </c>
      <c r="D354" s="36">
        <v>16</v>
      </c>
      <c r="E354" s="37">
        <v>6.5277777777777796E-2</v>
      </c>
      <c r="F354" s="36">
        <v>2017</v>
      </c>
      <c r="G354" s="36">
        <v>16</v>
      </c>
      <c r="H354" s="37">
        <v>0.23125000000000001</v>
      </c>
      <c r="I354" s="43">
        <v>522</v>
      </c>
      <c r="J354" s="43">
        <v>1</v>
      </c>
      <c r="K354" s="43"/>
      <c r="L354" s="438">
        <f>IF($I354&lt;192,0,IF($I354&gt;597,0, IF(VLOOKUP($I354,'CIRS Table Info'!$B$6:$J$425,3,FALSE)="Co-Add", 0.5,1) * (400 + IF(VLOOKUP($I354,'CIRS Table Info'!$B$6:$J$425,5,FALSE)="Data",1800,0) + IF(VLOOKUP($I354,'CIRS Table Info'!$B$6:$J$425,7,FALSE)="Data",1800,0) )))</f>
        <v>2000</v>
      </c>
      <c r="M354" s="438">
        <f>VLOOKUP($B354,'CIRS Table IDs'!$B$6:$M$1001,12,FALSE)</f>
        <v>2000</v>
      </c>
      <c r="N354" s="436" t="str">
        <f t="shared" si="19"/>
        <v/>
      </c>
    </row>
    <row r="355" spans="1:14" x14ac:dyDescent="0.2">
      <c r="A355" s="21"/>
      <c r="B355" s="45" t="s">
        <v>182</v>
      </c>
      <c r="C355" s="40">
        <v>2017</v>
      </c>
      <c r="D355" s="40">
        <f>IF(H354&gt;=$E463,G354,G354-1)</f>
        <v>16</v>
      </c>
      <c r="E355" s="37">
        <f>IF(H354-$E463&gt;0,H354-$E463,H354-$E463+$E469)</f>
        <v>0.23055555555555557</v>
      </c>
      <c r="F355" s="40">
        <v>2017</v>
      </c>
      <c r="G355" s="40">
        <v>16</v>
      </c>
      <c r="H355" s="37">
        <v>0.23125000000000001</v>
      </c>
      <c r="I355" s="43">
        <v>600</v>
      </c>
      <c r="J355" s="43">
        <f>IF(I355=50,10,1)</f>
        <v>1</v>
      </c>
      <c r="K355" s="43"/>
      <c r="L355" s="438">
        <f>IF($I355&lt;192,0,IF($I355&gt;597,0, IF(VLOOKUP($I355,'CIRS Table Info'!$B$6:$J$425,3,FALSE)="Co-Add", 0.5,1) * (400 + IF(VLOOKUP($I355,'CIRS Table Info'!$B$6:$J$425,5,FALSE)="Data",1800,0) + IF(VLOOKUP($I355,'CIRS Table Info'!$B$6:$J$425,7,FALSE)="Data",1800,0) )))</f>
        <v>0</v>
      </c>
      <c r="M355" s="438">
        <f>VLOOKUP($B355,'CIRS Table IDs'!$B$6:$M$1001,12,FALSE)</f>
        <v>0</v>
      </c>
      <c r="N355" s="436" t="str">
        <f t="shared" si="19"/>
        <v/>
      </c>
    </row>
    <row r="356" spans="1:14" x14ac:dyDescent="0.2">
      <c r="A356" s="21">
        <v>144</v>
      </c>
      <c r="B356" s="45" t="s">
        <v>577</v>
      </c>
      <c r="C356" s="36">
        <v>2017</v>
      </c>
      <c r="D356" s="36">
        <v>16</v>
      </c>
      <c r="E356" s="37">
        <v>0.23125000000000001</v>
      </c>
      <c r="F356" s="36">
        <f>IF($G356&gt;=$D356,$C356,$C356+1)</f>
        <v>2017</v>
      </c>
      <c r="G356" s="36">
        <f>IF(MOD($C$5,4)&lt;&gt;0,IF($D356+IF($H356&gt;=$E356,0,IF($H356+$E469&gt;=$E356,1,2))&gt;365,1,$D356+IF($H356&gt;=$E356,0,IF($H356+$E469&gt;=$E356,1,2))),IF($D356+IF($H356&gt;=$E356,0,IF($H356+$E469&gt;=$E356,1,2))&gt;366,1,$D356+IF($H356&gt;=$E356,0,IF($H356+$E469&gt;=$E356,1,2))))</f>
        <v>16</v>
      </c>
      <c r="H356" s="37">
        <f>E358</f>
        <v>0.48125000000000001</v>
      </c>
      <c r="I356" s="496">
        <v>555</v>
      </c>
      <c r="J356" s="43">
        <v>1</v>
      </c>
      <c r="K356" s="43"/>
      <c r="L356" s="438">
        <f>IF($I356&lt;192,0,IF($I356&gt;597,0, IF(VLOOKUP($I356,'CIRS Table Info'!$B$6:$J$425,3,FALSE)="Co-Add", 0.5,1) * (400 + IF(VLOOKUP($I356,'CIRS Table Info'!$B$6:$J$425,5,FALSE)="Data",1800,0) + IF(VLOOKUP($I356,'CIRS Table Info'!$B$6:$J$425,7,FALSE)="Data",1800,0) )))</f>
        <v>4000</v>
      </c>
      <c r="M356" s="438">
        <f>VLOOKUP($B356,'CIRS Table IDs'!$B$6:$M$1001,12,FALSE)</f>
        <v>4000</v>
      </c>
      <c r="N356" s="436" t="str">
        <f t="shared" si="19"/>
        <v/>
      </c>
    </row>
    <row r="357" spans="1:14" x14ac:dyDescent="0.2">
      <c r="A357" s="21"/>
      <c r="B357" s="45" t="s">
        <v>183</v>
      </c>
      <c r="C357" s="40">
        <v>2017</v>
      </c>
      <c r="D357" s="40">
        <f>IF(H356&gt;=$E467,G356,G356-1)</f>
        <v>16</v>
      </c>
      <c r="E357" s="37">
        <f>IF(H356-$E463&gt;0,H356-$E463,H356-$E463+$E469)</f>
        <v>0.48055555555555557</v>
      </c>
      <c r="F357" s="40">
        <v>2017</v>
      </c>
      <c r="G357" s="40">
        <v>16</v>
      </c>
      <c r="H357" s="37">
        <f>E358</f>
        <v>0.48125000000000001</v>
      </c>
      <c r="I357" s="43">
        <v>600</v>
      </c>
      <c r="J357" s="43">
        <f>IF(I357=50,10,1)</f>
        <v>1</v>
      </c>
      <c r="K357" s="43"/>
      <c r="L357" s="438">
        <f>IF($I357&lt;192,0,IF($I357&gt;597,0, IF(VLOOKUP($I357,'CIRS Table Info'!$B$6:$J$425,3,FALSE)="Co-Add", 0.5,1) * (400 + IF(VLOOKUP($I357,'CIRS Table Info'!$B$6:$J$425,5,FALSE)="Data",1800,0) + IF(VLOOKUP($I357,'CIRS Table Info'!$B$6:$J$425,7,FALSE)="Data",1800,0) )))</f>
        <v>0</v>
      </c>
      <c r="M357" s="438">
        <f>VLOOKUP($B357,'CIRS Table IDs'!$B$6:$M$1001,12,FALSE)</f>
        <v>0</v>
      </c>
      <c r="N357" s="436" t="str">
        <f t="shared" si="19"/>
        <v/>
      </c>
    </row>
    <row r="358" spans="1:14" x14ac:dyDescent="0.2">
      <c r="A358" s="21">
        <v>145</v>
      </c>
      <c r="B358" s="45" t="s">
        <v>580</v>
      </c>
      <c r="C358" s="36">
        <v>2017</v>
      </c>
      <c r="D358" s="36">
        <v>16</v>
      </c>
      <c r="E358" s="37">
        <v>0.48125000000000001</v>
      </c>
      <c r="F358" s="36">
        <v>2017</v>
      </c>
      <c r="G358" s="36">
        <v>16</v>
      </c>
      <c r="H358" s="37">
        <v>0.58541666666666703</v>
      </c>
      <c r="I358" s="43">
        <v>894</v>
      </c>
      <c r="J358" s="43">
        <f>IF(I358=50,10,1)</f>
        <v>1</v>
      </c>
      <c r="K358" s="43"/>
      <c r="L358" s="438">
        <f>IF($I358&lt;192,0,IF($I358&gt;597,0, IF(VLOOKUP($I358,'CIRS Table Info'!$B$6:$J$425,3,FALSE)="Co-Add", 0.5,1) * (400 + IF(VLOOKUP($I358,'CIRS Table Info'!$B$6:$J$425,5,FALSE)="Data",1800,0) + IF(VLOOKUP($I358,'CIRS Table Info'!$B$6:$J$425,7,FALSE)="Data",1800,0) )))</f>
        <v>0</v>
      </c>
      <c r="M358" s="438">
        <f>VLOOKUP($B358,'CIRS Table IDs'!$B$6:$M$1001,12,FALSE)</f>
        <v>4000</v>
      </c>
      <c r="N358" s="436" t="str">
        <f t="shared" si="19"/>
        <v>Warning</v>
      </c>
    </row>
    <row r="359" spans="1:14" x14ac:dyDescent="0.2">
      <c r="A359" s="21"/>
      <c r="B359" s="45" t="s">
        <v>184</v>
      </c>
      <c r="C359" s="40">
        <v>2017</v>
      </c>
      <c r="D359" s="40">
        <f>IF(H358&gt;=$E463,G358,G358-1)</f>
        <v>16</v>
      </c>
      <c r="E359" s="37">
        <f>IF(H358-$E463&gt;0,H358-$E463,H358-$E463+$E469)</f>
        <v>0.58472222222222259</v>
      </c>
      <c r="F359" s="40">
        <v>2017</v>
      </c>
      <c r="G359" s="40">
        <v>16</v>
      </c>
      <c r="H359" s="37">
        <v>0.58541666666666703</v>
      </c>
      <c r="I359" s="43">
        <v>602</v>
      </c>
      <c r="J359" s="43">
        <f>IF(I359=50,10,1)</f>
        <v>1</v>
      </c>
      <c r="K359" s="43"/>
      <c r="L359" s="438">
        <f>IF($I359&lt;192,0,IF($I359&gt;597,0, IF(VLOOKUP($I359,'CIRS Table Info'!$B$6:$J$425,3,FALSE)="Co-Add", 0.5,1) * (400 + IF(VLOOKUP($I359,'CIRS Table Info'!$B$6:$J$425,5,FALSE)="Data",1800,0) + IF(VLOOKUP($I359,'CIRS Table Info'!$B$6:$J$425,7,FALSE)="Data",1800,0) )))</f>
        <v>0</v>
      </c>
      <c r="M359" s="438">
        <f>VLOOKUP($B359,'CIRS Table IDs'!$B$6:$M$1001,12,FALSE)</f>
        <v>0</v>
      </c>
      <c r="N359" s="436" t="str">
        <f t="shared" si="19"/>
        <v/>
      </c>
    </row>
    <row r="360" spans="1:14" x14ac:dyDescent="0.2">
      <c r="A360" s="21">
        <v>146</v>
      </c>
      <c r="B360" s="45" t="s">
        <v>582</v>
      </c>
      <c r="C360" s="36">
        <v>2017</v>
      </c>
      <c r="D360" s="36">
        <v>16</v>
      </c>
      <c r="E360" s="37">
        <v>0.58541666666666703</v>
      </c>
      <c r="F360" s="36">
        <v>2017</v>
      </c>
      <c r="G360" s="36">
        <v>16</v>
      </c>
      <c r="H360" s="37">
        <v>0.72986111111111096</v>
      </c>
      <c r="I360" s="43">
        <v>522</v>
      </c>
      <c r="J360" s="43">
        <v>1</v>
      </c>
      <c r="K360" s="43"/>
      <c r="L360" s="438">
        <f>IF($I360&lt;192,0,IF($I360&gt;597,0, IF(VLOOKUP($I360,'CIRS Table Info'!$B$6:$J$425,3,FALSE)="Co-Add", 0.5,1) * (400 + IF(VLOOKUP($I360,'CIRS Table Info'!$B$6:$J$425,5,FALSE)="Data",1800,0) + IF(VLOOKUP($I360,'CIRS Table Info'!$B$6:$J$425,7,FALSE)="Data",1800,0) )))</f>
        <v>2000</v>
      </c>
      <c r="M360" s="438">
        <f>VLOOKUP($B360,'CIRS Table IDs'!$B$6:$M$1001,12,FALSE)</f>
        <v>2000</v>
      </c>
      <c r="N360" s="436" t="str">
        <f t="shared" si="19"/>
        <v/>
      </c>
    </row>
    <row r="361" spans="1:14" x14ac:dyDescent="0.2">
      <c r="A361" s="21"/>
      <c r="B361" s="45" t="s">
        <v>185</v>
      </c>
      <c r="C361" s="40">
        <v>2017</v>
      </c>
      <c r="D361" s="40">
        <f>IF(H360&gt;=$E463,G360,G360-1)</f>
        <v>16</v>
      </c>
      <c r="E361" s="37">
        <f>IF(H360-$E463&gt;0,H360-$E463,H360-$E463+$E469)</f>
        <v>0.72916666666666652</v>
      </c>
      <c r="F361" s="40">
        <v>2017</v>
      </c>
      <c r="G361" s="40">
        <v>16</v>
      </c>
      <c r="H361" s="37">
        <v>0.72986111111111096</v>
      </c>
      <c r="I361" s="43">
        <v>600</v>
      </c>
      <c r="J361" s="43">
        <f>IF(I361=50,10,1)</f>
        <v>1</v>
      </c>
      <c r="K361" s="43"/>
      <c r="L361" s="438">
        <f>IF($I361&lt;192,0,IF($I361&gt;597,0, IF(VLOOKUP($I361,'CIRS Table Info'!$B$6:$J$425,3,FALSE)="Co-Add", 0.5,1) * (400 + IF(VLOOKUP($I361,'CIRS Table Info'!$B$6:$J$425,5,FALSE)="Data",1800,0) + IF(VLOOKUP($I361,'CIRS Table Info'!$B$6:$J$425,7,FALSE)="Data",1800,0) )))</f>
        <v>0</v>
      </c>
      <c r="M361" s="438">
        <f>VLOOKUP($B361,'CIRS Table IDs'!$B$6:$M$1001,12,FALSE)</f>
        <v>0</v>
      </c>
      <c r="N361" s="436" t="str">
        <f t="shared" si="19"/>
        <v/>
      </c>
    </row>
    <row r="362" spans="1:14" x14ac:dyDescent="0.2">
      <c r="A362" s="21">
        <v>147</v>
      </c>
      <c r="B362" s="45" t="s">
        <v>583</v>
      </c>
      <c r="C362" s="36">
        <v>2017</v>
      </c>
      <c r="D362" s="36">
        <v>16</v>
      </c>
      <c r="E362" s="37">
        <v>0.72986111111111096</v>
      </c>
      <c r="F362" s="36">
        <f>IF($G362&gt;=$D362,$C362,$C362+1)</f>
        <v>2017</v>
      </c>
      <c r="G362" s="36">
        <f>IF(MOD($C$5,4)&lt;&gt;0,IF($D362+IF($H362&gt;=$E362,0,IF($H362+$E469&gt;=$E362,1,2))&gt;365,1,$D362+IF($H362&gt;=$E362,0,IF($H362+$E469&gt;=$E362,1,2))),IF($D362+IF($H362&gt;=$E362,0,IF($H362+$E469&gt;=$E362,1,2))&gt;366,1,$D362+IF($H362&gt;=$E362,0,IF($H362+$E469&gt;=$E362,1,2))))</f>
        <v>16</v>
      </c>
      <c r="H362" s="37">
        <f>E364</f>
        <v>0.89652777777777803</v>
      </c>
      <c r="I362" s="496">
        <v>505</v>
      </c>
      <c r="J362" s="43">
        <v>1</v>
      </c>
      <c r="K362" s="43"/>
      <c r="L362" s="438">
        <f>IF($I362&lt;192,0,IF($I362&gt;597,0, IF(VLOOKUP($I362,'CIRS Table Info'!$B$6:$J$425,3,FALSE)="Co-Add", 0.5,1) * (400 + IF(VLOOKUP($I362,'CIRS Table Info'!$B$6:$J$425,5,FALSE)="Data",1800,0) + IF(VLOOKUP($I362,'CIRS Table Info'!$B$6:$J$425,7,FALSE)="Data",1800,0) )))</f>
        <v>4000</v>
      </c>
      <c r="M362" s="438">
        <f>VLOOKUP($B362,'CIRS Table IDs'!$B$6:$M$1001,12,FALSE)</f>
        <v>4000</v>
      </c>
      <c r="N362" s="436" t="str">
        <f t="shared" si="19"/>
        <v/>
      </c>
    </row>
    <row r="363" spans="1:14" x14ac:dyDescent="0.2">
      <c r="A363" s="21"/>
      <c r="B363" s="45" t="s">
        <v>186</v>
      </c>
      <c r="C363" s="36">
        <v>2017</v>
      </c>
      <c r="D363" s="36">
        <v>16</v>
      </c>
      <c r="E363" s="37">
        <f>IF(H362-$E463&gt;0,H362-$E463,H362-$E463+$E469)</f>
        <v>0.89583333333333359</v>
      </c>
      <c r="F363" s="40">
        <v>2017</v>
      </c>
      <c r="G363" s="40">
        <v>16</v>
      </c>
      <c r="H363" s="37">
        <v>0.89652777777777803</v>
      </c>
      <c r="I363" s="43">
        <v>602</v>
      </c>
      <c r="J363" s="43">
        <f>IF(I363=50,10,1)</f>
        <v>1</v>
      </c>
      <c r="K363" s="43"/>
      <c r="L363" s="438">
        <f>IF($I363&lt;192,0,IF($I363&gt;597,0, IF(VLOOKUP($I363,'CIRS Table Info'!$B$6:$J$425,3,FALSE)="Co-Add", 0.5,1) * (400 + IF(VLOOKUP($I363,'CIRS Table Info'!$B$6:$J$425,5,FALSE)="Data",1800,0) + IF(VLOOKUP($I363,'CIRS Table Info'!$B$6:$J$425,7,FALSE)="Data",1800,0) )))</f>
        <v>0</v>
      </c>
      <c r="M363" s="438">
        <f>VLOOKUP($B363,'CIRS Table IDs'!$B$6:$M$1001,12,FALSE)</f>
        <v>0</v>
      </c>
      <c r="N363" s="436" t="str">
        <f t="shared" si="19"/>
        <v/>
      </c>
    </row>
    <row r="364" spans="1:14" x14ac:dyDescent="0.2">
      <c r="A364" s="21">
        <v>148</v>
      </c>
      <c r="B364" s="45" t="s">
        <v>584</v>
      </c>
      <c r="C364" s="36">
        <v>2017</v>
      </c>
      <c r="D364" s="36">
        <v>16</v>
      </c>
      <c r="E364" s="37">
        <v>0.89652777777777803</v>
      </c>
      <c r="F364" s="36">
        <v>2017</v>
      </c>
      <c r="G364" s="36">
        <v>17</v>
      </c>
      <c r="H364" s="37">
        <v>0</v>
      </c>
      <c r="I364" s="43">
        <v>472</v>
      </c>
      <c r="J364" s="43">
        <v>1</v>
      </c>
      <c r="K364" s="43"/>
      <c r="L364" s="438">
        <f>IF($I364&lt;192,0,IF($I364&gt;597,0, IF(VLOOKUP($I364,'CIRS Table Info'!$B$6:$J$425,3,FALSE)="Co-Add", 0.5,1) * (400 + IF(VLOOKUP($I364,'CIRS Table Info'!$B$6:$J$425,5,FALSE)="Data",1800,0) + IF(VLOOKUP($I364,'CIRS Table Info'!$B$6:$J$425,7,FALSE)="Data",1800,0) )))</f>
        <v>2000</v>
      </c>
      <c r="M364" s="438">
        <f>VLOOKUP($B364,'CIRS Table IDs'!$B$6:$M$1001,12,FALSE)</f>
        <v>2000</v>
      </c>
      <c r="N364" s="436" t="str">
        <f t="shared" si="19"/>
        <v/>
      </c>
    </row>
    <row r="365" spans="1:14" x14ac:dyDescent="0.2">
      <c r="A365" s="21"/>
      <c r="B365" s="45" t="s">
        <v>187</v>
      </c>
      <c r="C365" s="40">
        <v>2017</v>
      </c>
      <c r="D365" s="40">
        <f>IF(H364&gt;=$E463,G364,G364-1)</f>
        <v>16</v>
      </c>
      <c r="E365" s="37">
        <f>IF(H364-$E463&gt;0,H364-$E463,H364-$E463+$E469)</f>
        <v>0.99930555555555556</v>
      </c>
      <c r="F365" s="40">
        <v>2017</v>
      </c>
      <c r="G365" s="40">
        <v>17</v>
      </c>
      <c r="H365" s="37">
        <v>0</v>
      </c>
      <c r="I365" s="43">
        <v>602</v>
      </c>
      <c r="J365" s="43">
        <f>IF(I365=50,10,1)</f>
        <v>1</v>
      </c>
      <c r="K365" s="43"/>
      <c r="L365" s="438">
        <f>IF($I365&lt;192,0,IF($I365&gt;597,0, IF(VLOOKUP($I365,'CIRS Table Info'!$B$6:$J$425,3,FALSE)="Co-Add", 0.5,1) * (400 + IF(VLOOKUP($I365,'CIRS Table Info'!$B$6:$J$425,5,FALSE)="Data",1800,0) + IF(VLOOKUP($I365,'CIRS Table Info'!$B$6:$J$425,7,FALSE)="Data",1800,0) )))</f>
        <v>0</v>
      </c>
      <c r="M365" s="438">
        <f>VLOOKUP($B365,'CIRS Table IDs'!$B$6:$M$1001,12,FALSE)</f>
        <v>0</v>
      </c>
      <c r="N365" s="436" t="str">
        <f t="shared" si="19"/>
        <v/>
      </c>
    </row>
    <row r="366" spans="1:14" x14ac:dyDescent="0.2">
      <c r="A366" s="21">
        <v>149</v>
      </c>
      <c r="B366" s="45" t="s">
        <v>585</v>
      </c>
      <c r="C366" s="36">
        <v>2017</v>
      </c>
      <c r="D366" s="36">
        <v>17</v>
      </c>
      <c r="E366" s="37">
        <v>0</v>
      </c>
      <c r="F366" s="36">
        <v>2017</v>
      </c>
      <c r="G366" s="36">
        <v>17</v>
      </c>
      <c r="H366" s="37">
        <v>6.5972222222222196E-2</v>
      </c>
      <c r="I366" s="43">
        <v>422</v>
      </c>
      <c r="J366" s="43">
        <v>1</v>
      </c>
      <c r="K366" s="43"/>
      <c r="L366" s="438">
        <f>IF($I366&lt;192,0,IF($I366&gt;597,0, IF(VLOOKUP($I366,'CIRS Table Info'!$B$6:$J$425,3,FALSE)="Co-Add", 0.5,1) * (400 + IF(VLOOKUP($I366,'CIRS Table Info'!$B$6:$J$425,5,FALSE)="Data",1800,0) + IF(VLOOKUP($I366,'CIRS Table Info'!$B$6:$J$425,7,FALSE)="Data",1800,0) )))</f>
        <v>2000</v>
      </c>
      <c r="M366" s="438">
        <f>VLOOKUP($B366,'CIRS Table IDs'!$B$6:$M$1001,12,FALSE)</f>
        <v>2000</v>
      </c>
      <c r="N366" s="436" t="str">
        <f t="shared" si="19"/>
        <v/>
      </c>
    </row>
    <row r="367" spans="1:14" x14ac:dyDescent="0.2">
      <c r="A367" s="21"/>
      <c r="B367" s="45" t="s">
        <v>188</v>
      </c>
      <c r="C367" s="40">
        <v>2017</v>
      </c>
      <c r="D367" s="40">
        <f>IF(H366&gt;=$E463,G366,G366-1)</f>
        <v>17</v>
      </c>
      <c r="E367" s="37">
        <f>IF(H366-$E463&gt;0,H366-$E463,H366-$E463+$E469)</f>
        <v>6.5277777777777754E-2</v>
      </c>
      <c r="F367" s="40">
        <v>2017</v>
      </c>
      <c r="G367" s="40">
        <v>17</v>
      </c>
      <c r="H367" s="37">
        <v>6.5972222222222196E-2</v>
      </c>
      <c r="I367" s="43">
        <v>602</v>
      </c>
      <c r="J367" s="43">
        <f>IF(I367=50,10,1)</f>
        <v>1</v>
      </c>
      <c r="K367" s="43"/>
      <c r="L367" s="438">
        <f>IF($I367&lt;192,0,IF($I367&gt;597,0, IF(VLOOKUP($I367,'CIRS Table Info'!$B$6:$J$425,3,FALSE)="Co-Add", 0.5,1) * (400 + IF(VLOOKUP($I367,'CIRS Table Info'!$B$6:$J$425,5,FALSE)="Data",1800,0) + IF(VLOOKUP($I367,'CIRS Table Info'!$B$6:$J$425,7,FALSE)="Data",1800,0) )))</f>
        <v>0</v>
      </c>
      <c r="M367" s="438">
        <f>VLOOKUP($B367,'CIRS Table IDs'!$B$6:$M$1001,12,FALSE)</f>
        <v>0</v>
      </c>
      <c r="N367" s="436" t="str">
        <f t="shared" si="19"/>
        <v/>
      </c>
    </row>
    <row r="368" spans="1:14" x14ac:dyDescent="0.2">
      <c r="A368" s="21">
        <v>150</v>
      </c>
      <c r="B368" s="45" t="s">
        <v>586</v>
      </c>
      <c r="C368" s="36">
        <v>2017</v>
      </c>
      <c r="D368" s="36">
        <v>17</v>
      </c>
      <c r="E368" s="37">
        <v>6.5972222222222196E-2</v>
      </c>
      <c r="F368" s="36">
        <v>2017</v>
      </c>
      <c r="G368" s="36">
        <v>17</v>
      </c>
      <c r="H368" s="37">
        <v>0.16666666666666699</v>
      </c>
      <c r="I368" s="43">
        <v>472</v>
      </c>
      <c r="J368" s="43">
        <v>1</v>
      </c>
      <c r="K368" s="43"/>
      <c r="L368" s="438">
        <f>IF($I368&lt;192,0,IF($I368&gt;597,0, IF(VLOOKUP($I368,'CIRS Table Info'!$B$6:$J$425,3,FALSE)="Co-Add", 0.5,1) * (400 + IF(VLOOKUP($I368,'CIRS Table Info'!$B$6:$J$425,5,FALSE)="Data",1800,0) + IF(VLOOKUP($I368,'CIRS Table Info'!$B$6:$J$425,7,FALSE)="Data",1800,0) )))</f>
        <v>2000</v>
      </c>
      <c r="M368" s="438">
        <f>VLOOKUP($B368,'CIRS Table IDs'!$B$6:$M$1001,12,FALSE)</f>
        <v>2000</v>
      </c>
      <c r="N368" s="436" t="str">
        <f t="shared" si="19"/>
        <v/>
      </c>
    </row>
    <row r="369" spans="1:14" x14ac:dyDescent="0.2">
      <c r="A369" s="21"/>
      <c r="B369" s="45" t="s">
        <v>189</v>
      </c>
      <c r="C369" s="40">
        <v>2017</v>
      </c>
      <c r="D369" s="40">
        <f>IF(H368&gt;=$E463,G368,G368-1)</f>
        <v>17</v>
      </c>
      <c r="E369" s="37">
        <f>IF(H368-$E463&gt;0,H368-$E463,H368-$E463+$E469)</f>
        <v>0.16597222222222255</v>
      </c>
      <c r="F369" s="40">
        <v>2017</v>
      </c>
      <c r="G369" s="40">
        <v>17</v>
      </c>
      <c r="H369" s="37">
        <v>0.23055555555555601</v>
      </c>
      <c r="I369" s="43">
        <v>602</v>
      </c>
      <c r="J369" s="43">
        <f>IF(I369=50,10,1)</f>
        <v>1</v>
      </c>
      <c r="K369" s="43"/>
      <c r="L369" s="438">
        <f>IF($I369&lt;192,0,IF($I369&gt;597,0, IF(VLOOKUP($I369,'CIRS Table Info'!$B$6:$J$425,3,FALSE)="Co-Add", 0.5,1) * (400 + IF(VLOOKUP($I369,'CIRS Table Info'!$B$6:$J$425,5,FALSE)="Data",1800,0) + IF(VLOOKUP($I369,'CIRS Table Info'!$B$6:$J$425,7,FALSE)="Data",1800,0) )))</f>
        <v>0</v>
      </c>
      <c r="M369" s="438">
        <f>VLOOKUP($B369,'CIRS Table IDs'!$B$6:$M$1001,12,FALSE)</f>
        <v>0</v>
      </c>
      <c r="N369" s="436" t="str">
        <f t="shared" si="19"/>
        <v/>
      </c>
    </row>
    <row r="370" spans="1:14" x14ac:dyDescent="0.2">
      <c r="A370" s="21">
        <v>151</v>
      </c>
      <c r="B370" s="45" t="s">
        <v>587</v>
      </c>
      <c r="C370" s="36">
        <v>2017</v>
      </c>
      <c r="D370" s="36">
        <v>17</v>
      </c>
      <c r="E370" s="37">
        <v>0.23055555555555601</v>
      </c>
      <c r="F370" s="36">
        <v>2017</v>
      </c>
      <c r="G370" s="36">
        <v>17</v>
      </c>
      <c r="H370" s="37">
        <v>0.296527777777778</v>
      </c>
      <c r="I370" s="43">
        <v>422</v>
      </c>
      <c r="J370" s="43">
        <v>1</v>
      </c>
      <c r="K370" s="43"/>
      <c r="L370" s="438">
        <f>IF($I370&lt;192,0,IF($I370&gt;597,0, IF(VLOOKUP($I370,'CIRS Table Info'!$B$6:$J$425,3,FALSE)="Co-Add", 0.5,1) * (400 + IF(VLOOKUP($I370,'CIRS Table Info'!$B$6:$J$425,5,FALSE)="Data",1800,0) + IF(VLOOKUP($I370,'CIRS Table Info'!$B$6:$J$425,7,FALSE)="Data",1800,0) )))</f>
        <v>2000</v>
      </c>
      <c r="M370" s="438">
        <f>VLOOKUP($B370,'CIRS Table IDs'!$B$6:$M$1001,12,FALSE)</f>
        <v>2000</v>
      </c>
      <c r="N370" s="436" t="str">
        <f t="shared" si="19"/>
        <v/>
      </c>
    </row>
    <row r="371" spans="1:14" x14ac:dyDescent="0.2">
      <c r="A371" s="21"/>
      <c r="B371" s="45" t="s">
        <v>190</v>
      </c>
      <c r="C371" s="40">
        <v>2017</v>
      </c>
      <c r="D371" s="40">
        <f>IF(H370&gt;=$E463,G370,G370-1)</f>
        <v>17</v>
      </c>
      <c r="E371" s="37">
        <f>IF(H370-$E463&gt;0,H370-$E463,H370-$E463+$E469)</f>
        <v>0.29583333333333356</v>
      </c>
      <c r="F371" s="40">
        <v>2017</v>
      </c>
      <c r="G371" s="40">
        <v>17</v>
      </c>
      <c r="H371" s="37">
        <v>0.70833333333333304</v>
      </c>
      <c r="I371" s="43">
        <v>50</v>
      </c>
      <c r="J371" s="43">
        <f>IF(I371=50,10,1)</f>
        <v>10</v>
      </c>
      <c r="K371" s="43"/>
      <c r="L371" s="438">
        <f>IF($I371&lt;192,0,IF($I371&gt;597,0, IF(VLOOKUP($I371,'CIRS Table Info'!$B$6:$J$425,3,FALSE)="Co-Add", 0.5,1) * (400 + IF(VLOOKUP($I371,'CIRS Table Info'!$B$6:$J$425,5,FALSE)="Data",1800,0) + IF(VLOOKUP($I371,'CIRS Table Info'!$B$6:$J$425,7,FALSE)="Data",1800,0) )))</f>
        <v>0</v>
      </c>
      <c r="M371" s="438">
        <f>VLOOKUP($B371,'CIRS Table IDs'!$B$6:$M$1001,12,FALSE)</f>
        <v>0</v>
      </c>
      <c r="N371" s="436" t="str">
        <f t="shared" si="19"/>
        <v/>
      </c>
    </row>
    <row r="372" spans="1:14" x14ac:dyDescent="0.2">
      <c r="A372" s="21">
        <v>152</v>
      </c>
      <c r="B372" s="45" t="s">
        <v>588</v>
      </c>
      <c r="C372" s="36">
        <v>2017</v>
      </c>
      <c r="D372" s="36">
        <v>17</v>
      </c>
      <c r="E372" s="37">
        <v>0.70833333333333304</v>
      </c>
      <c r="F372" s="36">
        <v>2017</v>
      </c>
      <c r="G372" s="36">
        <v>17</v>
      </c>
      <c r="H372" s="37">
        <v>0.97291666666666698</v>
      </c>
      <c r="I372" s="43">
        <v>901</v>
      </c>
      <c r="J372" s="43">
        <f>IF(I372=50,10,1)</f>
        <v>1</v>
      </c>
      <c r="K372" s="43"/>
      <c r="L372" s="438">
        <f>IF($I372&lt;192,0,IF($I372&gt;597,0, IF(VLOOKUP($I372,'CIRS Table Info'!$B$6:$J$425,3,FALSE)="Co-Add", 0.5,1) * (400 + IF(VLOOKUP($I372,'CIRS Table Info'!$B$6:$J$425,5,FALSE)="Data",1800,0) + IF(VLOOKUP($I372,'CIRS Table Info'!$B$6:$J$425,7,FALSE)="Data",1800,0) )))</f>
        <v>0</v>
      </c>
      <c r="M372" s="438">
        <f>VLOOKUP($B372,'CIRS Table IDs'!$B$6:$M$1001,12,FALSE)</f>
        <v>3000</v>
      </c>
      <c r="N372" s="436" t="str">
        <f t="shared" si="19"/>
        <v/>
      </c>
    </row>
    <row r="373" spans="1:14" x14ac:dyDescent="0.2">
      <c r="A373" s="21"/>
      <c r="B373" s="45" t="s">
        <v>191</v>
      </c>
      <c r="C373" s="40">
        <v>2017</v>
      </c>
      <c r="D373" s="40">
        <f>IF(H372&gt;=$E463,G372,G372-1)</f>
        <v>17</v>
      </c>
      <c r="E373" s="37">
        <f>IF(H372-$E463&gt;0,H372-$E463,H372-$E463+$E469)</f>
        <v>0.97222222222222254</v>
      </c>
      <c r="F373" s="40">
        <v>2017</v>
      </c>
      <c r="G373" s="40">
        <v>18</v>
      </c>
      <c r="H373" s="37">
        <v>6.9444444444444404E-4</v>
      </c>
      <c r="I373" s="43">
        <v>602</v>
      </c>
      <c r="J373" s="43">
        <f>IF(I373=50,10,1)</f>
        <v>1</v>
      </c>
      <c r="K373" s="43"/>
      <c r="L373" s="438">
        <f>IF($I373&lt;192,0,IF($I373&gt;597,0, IF(VLOOKUP($I373,'CIRS Table Info'!$B$6:$J$425,3,FALSE)="Co-Add", 0.5,1) * (400 + IF(VLOOKUP($I373,'CIRS Table Info'!$B$6:$J$425,5,FALSE)="Data",1800,0) + IF(VLOOKUP($I373,'CIRS Table Info'!$B$6:$J$425,7,FALSE)="Data",1800,0) )))</f>
        <v>0</v>
      </c>
      <c r="M373" s="438">
        <f>VLOOKUP($B373,'CIRS Table IDs'!$B$6:$M$1001,12,FALSE)</f>
        <v>0</v>
      </c>
      <c r="N373" s="436" t="str">
        <f t="shared" si="19"/>
        <v/>
      </c>
    </row>
    <row r="374" spans="1:14" x14ac:dyDescent="0.2">
      <c r="A374" s="21">
        <v>153</v>
      </c>
      <c r="B374" s="45" t="s">
        <v>589</v>
      </c>
      <c r="C374" s="36">
        <v>2017</v>
      </c>
      <c r="D374" s="36">
        <v>18</v>
      </c>
      <c r="E374" s="37">
        <v>6.9444444444444404E-4</v>
      </c>
      <c r="F374" s="36">
        <v>2017</v>
      </c>
      <c r="G374" s="36">
        <v>18</v>
      </c>
      <c r="H374" s="37">
        <v>0.624305555555556</v>
      </c>
      <c r="I374" s="43">
        <v>572</v>
      </c>
      <c r="J374" s="43">
        <v>3</v>
      </c>
      <c r="K374" s="43"/>
      <c r="L374" s="438">
        <f>IF($I374&lt;192,0,IF($I374&gt;597,0, IF(VLOOKUP($I374,'CIRS Table Info'!$B$6:$J$425,3,FALSE)="Co-Add", 0.5,1) * (400 + IF(VLOOKUP($I374,'CIRS Table Info'!$B$6:$J$425,5,FALSE)="Data",1800,0) + IF(VLOOKUP($I374,'CIRS Table Info'!$B$6:$J$425,7,FALSE)="Data",1800,0) )))</f>
        <v>2000</v>
      </c>
      <c r="M374" s="438">
        <f>VLOOKUP($B374,'CIRS Table IDs'!$B$6:$M$1001,12,FALSE)</f>
        <v>2000</v>
      </c>
      <c r="N374" s="436" t="str">
        <f t="shared" si="19"/>
        <v/>
      </c>
    </row>
    <row r="375" spans="1:14" x14ac:dyDescent="0.2">
      <c r="A375" s="21"/>
      <c r="B375" s="45" t="s">
        <v>192</v>
      </c>
      <c r="C375" s="40">
        <v>2017</v>
      </c>
      <c r="D375" s="40">
        <f>IF(H374&gt;=$E463,G374,G374-1)</f>
        <v>18</v>
      </c>
      <c r="E375" s="37">
        <f>IF(H374-$E463&gt;0,H374-$E463,H374-$E463+$E469)</f>
        <v>0.62361111111111156</v>
      </c>
      <c r="F375" s="40">
        <v>2017</v>
      </c>
      <c r="G375" s="40">
        <v>18</v>
      </c>
      <c r="H375" s="37">
        <v>0.75624999999999998</v>
      </c>
      <c r="I375" s="43">
        <v>50</v>
      </c>
      <c r="J375" s="43">
        <f>IF(I375=50,10,1)</f>
        <v>10</v>
      </c>
      <c r="K375" s="43"/>
      <c r="L375" s="438">
        <f>IF($I375&lt;192,0,IF($I375&gt;597,0, IF(VLOOKUP($I375,'CIRS Table Info'!$B$6:$J$425,3,FALSE)="Co-Add", 0.5,1) * (400 + IF(VLOOKUP($I375,'CIRS Table Info'!$B$6:$J$425,5,FALSE)="Data",1800,0) + IF(VLOOKUP($I375,'CIRS Table Info'!$B$6:$J$425,7,FALSE)="Data",1800,0) )))</f>
        <v>0</v>
      </c>
      <c r="M375" s="438">
        <f>VLOOKUP($B375,'CIRS Table IDs'!$B$6:$M$1001,12,FALSE)</f>
        <v>0</v>
      </c>
      <c r="N375" s="436" t="str">
        <f t="shared" si="19"/>
        <v/>
      </c>
    </row>
    <row r="376" spans="1:14" x14ac:dyDescent="0.2">
      <c r="A376" s="21">
        <v>154</v>
      </c>
      <c r="B376" s="45" t="s">
        <v>590</v>
      </c>
      <c r="C376" s="36">
        <v>2017</v>
      </c>
      <c r="D376" s="36">
        <v>18</v>
      </c>
      <c r="E376" s="37">
        <v>0.75624999999999998</v>
      </c>
      <c r="F376" s="36">
        <v>2017</v>
      </c>
      <c r="G376" s="36">
        <v>19</v>
      </c>
      <c r="H376" s="37">
        <v>8.9583333333333307E-2</v>
      </c>
      <c r="I376" s="43">
        <v>903</v>
      </c>
      <c r="J376" s="43">
        <f>IF(I376=50,10,1)</f>
        <v>1</v>
      </c>
      <c r="K376" s="43"/>
      <c r="L376" s="438">
        <f>IF($I376&lt;192,0,IF($I376&gt;597,0, IF(VLOOKUP($I376,'CIRS Table Info'!$B$6:$J$425,3,FALSE)="Co-Add", 0.5,1) * (400 + IF(VLOOKUP($I376,'CIRS Table Info'!$B$6:$J$425,5,FALSE)="Data",1800,0) + IF(VLOOKUP($I376,'CIRS Table Info'!$B$6:$J$425,7,FALSE)="Data",1800,0) )))</f>
        <v>0</v>
      </c>
      <c r="M376" s="438">
        <f>VLOOKUP($B376,'CIRS Table IDs'!$B$6:$M$1001,12,FALSE)</f>
        <v>3000</v>
      </c>
      <c r="N376" s="436" t="str">
        <f t="shared" ref="N376:N444" si="20">IF(L376=M376,"",IF(RIGHT(B376,3)="_SP","",IF(I376&lt;700,"Error","Warning")))</f>
        <v/>
      </c>
    </row>
    <row r="377" spans="1:14" x14ac:dyDescent="0.2">
      <c r="A377" s="21"/>
      <c r="B377" s="45" t="s">
        <v>193</v>
      </c>
      <c r="C377" s="40">
        <v>2017</v>
      </c>
      <c r="D377" s="40">
        <f>IF(H376&gt;=$E463,G376,G376-1)</f>
        <v>19</v>
      </c>
      <c r="E377" s="37">
        <f>IF(H376-$E463&gt;0,H376-$E463,H376-$E463+$E469)</f>
        <v>8.8888888888888865E-2</v>
      </c>
      <c r="F377" s="40">
        <v>2017</v>
      </c>
      <c r="G377" s="40">
        <v>19</v>
      </c>
      <c r="H377" s="37">
        <v>0.117361111111111</v>
      </c>
      <c r="I377" s="43">
        <v>600</v>
      </c>
      <c r="J377" s="43">
        <f>IF(I377=50,10,1)</f>
        <v>1</v>
      </c>
      <c r="K377" s="43"/>
      <c r="L377" s="438">
        <f>IF($I377&lt;192,0,IF($I377&gt;597,0, IF(VLOOKUP($I377,'CIRS Table Info'!$B$6:$J$425,3,FALSE)="Co-Add", 0.5,1) * (400 + IF(VLOOKUP($I377,'CIRS Table Info'!$B$6:$J$425,5,FALSE)="Data",1800,0) + IF(VLOOKUP($I377,'CIRS Table Info'!$B$6:$J$425,7,FALSE)="Data",1800,0) )))</f>
        <v>0</v>
      </c>
      <c r="M377" s="438">
        <f>VLOOKUP($B377,'CIRS Table IDs'!$B$6:$M$1001,12,FALSE)</f>
        <v>0</v>
      </c>
      <c r="N377" s="436" t="str">
        <f t="shared" si="20"/>
        <v/>
      </c>
    </row>
    <row r="378" spans="1:14" x14ac:dyDescent="0.2">
      <c r="A378" s="21">
        <v>155</v>
      </c>
      <c r="B378" s="45" t="s">
        <v>591</v>
      </c>
      <c r="C378" s="36">
        <v>2017</v>
      </c>
      <c r="D378" s="36">
        <v>19</v>
      </c>
      <c r="E378" s="37">
        <v>0.117361111111111</v>
      </c>
      <c r="F378" s="36">
        <f>IF($G378&gt;=$D378,$C378,$C378+1)</f>
        <v>2017</v>
      </c>
      <c r="G378" s="36">
        <f>IF(MOD($C$5,4)&lt;&gt;0,IF($D378+IF($H378&gt;=$E378,0,IF($H378+$E469&gt;=$E378,1,2))&gt;365,1,$D378+IF($H378&gt;=$E378,0,IF($H378+$E469&gt;=$E378,1,2))),IF($D378+IF($H378&gt;=$E378,0,IF($H378+$E469&gt;=$E378,1,2))&gt;366,1,$D378+IF($H378&gt;=$E378,0,IF($H378+$E469&gt;=$E378,1,2))))</f>
        <v>19</v>
      </c>
      <c r="H378" s="37">
        <f>IF(E378 + TIMEVALUE("00:05:00")&gt;=1,E378 + TIMEVALUE("00:05:00")-1,E378 + TIMEVALUE("00:05:00"))</f>
        <v>0.12083333333333322</v>
      </c>
      <c r="I378" s="496">
        <v>210</v>
      </c>
      <c r="J378" s="43">
        <v>1</v>
      </c>
      <c r="K378" s="43"/>
      <c r="L378" s="438">
        <f>IF($I378&lt;192,0,IF($I378&gt;597,0, IF(VLOOKUP($I378,'CIRS Table Info'!$B$6:$J$425,3,FALSE)="Co-Add", 0.5,1) * (400 + IF(VLOOKUP($I378,'CIRS Table Info'!$B$6:$J$425,5,FALSE)="Data",1800,0) + IF(VLOOKUP($I378,'CIRS Table Info'!$B$6:$J$425,7,FALSE)="Data",1800,0) )))</f>
        <v>4000</v>
      </c>
      <c r="M378" s="438">
        <f>VLOOKUP($B378,'CIRS Table IDs'!$B$6:$M$1001,12,FALSE)</f>
        <v>4000</v>
      </c>
      <c r="N378" s="436" t="str">
        <f t="shared" si="20"/>
        <v/>
      </c>
    </row>
    <row r="379" spans="1:14" x14ac:dyDescent="0.2">
      <c r="A379" s="21"/>
      <c r="B379" s="45" t="s">
        <v>591</v>
      </c>
      <c r="C379" s="36">
        <f>$F378</f>
        <v>2017</v>
      </c>
      <c r="D379" s="36">
        <f>$G378</f>
        <v>19</v>
      </c>
      <c r="E379" s="37">
        <f>IF(E378 + TIMEVALUE("00:05:00")&gt;=1,E378 + TIMEVALUE("00:05:00")-1,E378 + TIMEVALUE("00:05:00"))</f>
        <v>0.12083333333333322</v>
      </c>
      <c r="F379" s="36">
        <f>IF($G379&gt;=$D379,$C379,$C379+1)</f>
        <v>2017</v>
      </c>
      <c r="G379" s="36">
        <f>IF(0.64375 - TIMEVALUE("00:05:00")&gt;=0, 19, 18)</f>
        <v>19</v>
      </c>
      <c r="H379" s="37">
        <f>IF(0.64375 - TIMEVALUE("00:05:00")&gt;=0, 0.64375 - TIMEVALUE("00:05:00"), 0.64375 - TIMEVALUE("00:05:00") +$E469)</f>
        <v>0.64027777777777783</v>
      </c>
      <c r="I379" s="496">
        <v>207</v>
      </c>
      <c r="J379" s="43">
        <v>1</v>
      </c>
      <c r="K379" s="43"/>
      <c r="L379" s="438">
        <f>IF($I379&lt;192,0,IF($I379&gt;597,0, IF(VLOOKUP($I379,'CIRS Table Info'!$B$6:$J$425,3,FALSE)="Co-Add", 0.5,1) * (400 + IF(VLOOKUP($I379,'CIRS Table Info'!$B$6:$J$425,5,FALSE)="Data",1800,0) + IF(VLOOKUP($I379,'CIRS Table Info'!$B$6:$J$425,7,FALSE)="Data",1800,0) )))</f>
        <v>4000</v>
      </c>
      <c r="M379" s="438">
        <f>VLOOKUP($B379,'CIRS Table IDs'!$B$6:$M$1001,12,FALSE)</f>
        <v>4000</v>
      </c>
      <c r="N379" s="436" t="str">
        <f t="shared" si="20"/>
        <v/>
      </c>
    </row>
    <row r="380" spans="1:14" x14ac:dyDescent="0.2">
      <c r="A380" s="21"/>
      <c r="B380" s="45" t="s">
        <v>591</v>
      </c>
      <c r="C380" s="36">
        <f>$F379</f>
        <v>2017</v>
      </c>
      <c r="D380" s="36">
        <f>$G379</f>
        <v>19</v>
      </c>
      <c r="E380" s="37">
        <f>IF(0.64375 - TIMEVALUE("00:05:00")&gt;=0, 0.64375 - TIMEVALUE("00:05:00"), 0.64375 - TIMEVALUE("00:05:00") +$E469)</f>
        <v>0.64027777777777783</v>
      </c>
      <c r="F380" s="36">
        <f>IF($G380&gt;=$D380,$C380,$C380+1)</f>
        <v>2017</v>
      </c>
      <c r="G380" s="36">
        <v>19</v>
      </c>
      <c r="H380" s="37">
        <v>0.64375000000000004</v>
      </c>
      <c r="I380" s="496">
        <v>210</v>
      </c>
      <c r="J380" s="43">
        <v>1</v>
      </c>
      <c r="K380" s="43"/>
      <c r="L380" s="438">
        <f>IF($I380&lt;192,0,IF($I380&gt;597,0, IF(VLOOKUP($I380,'CIRS Table Info'!$B$6:$J$425,3,FALSE)="Co-Add", 0.5,1) * (400 + IF(VLOOKUP($I380,'CIRS Table Info'!$B$6:$J$425,5,FALSE)="Data",1800,0) + IF(VLOOKUP($I380,'CIRS Table Info'!$B$6:$J$425,7,FALSE)="Data",1800,0) )))</f>
        <v>4000</v>
      </c>
      <c r="M380" s="438">
        <f>VLOOKUP($B380,'CIRS Table IDs'!$B$6:$M$1001,12,FALSE)</f>
        <v>4000</v>
      </c>
      <c r="N380" s="436" t="str">
        <f t="shared" si="20"/>
        <v/>
      </c>
    </row>
    <row r="381" spans="1:14" x14ac:dyDescent="0.2">
      <c r="A381" s="21"/>
      <c r="B381" s="45" t="s">
        <v>194</v>
      </c>
      <c r="C381" s="36">
        <v>2017</v>
      </c>
      <c r="D381" s="36">
        <f>IF(H380&gt;=$E463,G380,G380-1)</f>
        <v>19</v>
      </c>
      <c r="E381" s="37">
        <f>IF(H380-$E463&gt;0,H380-$E463,H380-$E463+$E469)</f>
        <v>0.6430555555555556</v>
      </c>
      <c r="F381" s="40">
        <v>2017</v>
      </c>
      <c r="G381" s="40">
        <v>19</v>
      </c>
      <c r="H381" s="37">
        <v>0.77569444444444402</v>
      </c>
      <c r="I381" s="43">
        <v>50</v>
      </c>
      <c r="J381" s="43">
        <f>IF(I381=50,10,1)</f>
        <v>10</v>
      </c>
      <c r="K381" s="43"/>
      <c r="L381" s="438">
        <f>IF($I381&lt;192,0,IF($I381&gt;597,0, IF(VLOOKUP($I381,'CIRS Table Info'!$B$6:$J$425,3,FALSE)="Co-Add", 0.5,1) * (400 + IF(VLOOKUP($I381,'CIRS Table Info'!$B$6:$J$425,5,FALSE)="Data",1800,0) + IF(VLOOKUP($I381,'CIRS Table Info'!$B$6:$J$425,7,FALSE)="Data",1800,0) )))</f>
        <v>0</v>
      </c>
      <c r="M381" s="438">
        <f>VLOOKUP($B381,'CIRS Table IDs'!$B$6:$M$1001,12,FALSE)</f>
        <v>0</v>
      </c>
      <c r="N381" s="436" t="str">
        <f t="shared" si="20"/>
        <v/>
      </c>
    </row>
    <row r="382" spans="1:14" x14ac:dyDescent="0.2">
      <c r="A382" s="21">
        <v>156</v>
      </c>
      <c r="B382" s="45" t="s">
        <v>592</v>
      </c>
      <c r="C382" s="36">
        <v>2017</v>
      </c>
      <c r="D382" s="36">
        <v>19</v>
      </c>
      <c r="E382" s="37">
        <v>0.77569444444444402</v>
      </c>
      <c r="F382" s="36">
        <v>2017</v>
      </c>
      <c r="G382" s="36">
        <v>20</v>
      </c>
      <c r="H382" s="37">
        <v>0.109027777777778</v>
      </c>
      <c r="I382" s="43">
        <v>905</v>
      </c>
      <c r="J382" s="43">
        <f>IF(I382=50,10,1)</f>
        <v>1</v>
      </c>
      <c r="K382" s="43"/>
      <c r="L382" s="438">
        <f>IF($I382&lt;192,0,IF($I382&gt;597,0, IF(VLOOKUP($I382,'CIRS Table Info'!$B$6:$J$425,3,FALSE)="Co-Add", 0.5,1) * (400 + IF(VLOOKUP($I382,'CIRS Table Info'!$B$6:$J$425,5,FALSE)="Data",1800,0) + IF(VLOOKUP($I382,'CIRS Table Info'!$B$6:$J$425,7,FALSE)="Data",1800,0) )))</f>
        <v>0</v>
      </c>
      <c r="M382" s="438">
        <f>VLOOKUP($B382,'CIRS Table IDs'!$B$6:$M$1001,12,FALSE)</f>
        <v>3000</v>
      </c>
      <c r="N382" s="436" t="str">
        <f t="shared" si="20"/>
        <v/>
      </c>
    </row>
    <row r="383" spans="1:14" x14ac:dyDescent="0.2">
      <c r="A383" s="21"/>
      <c r="B383" s="45" t="s">
        <v>195</v>
      </c>
      <c r="C383" s="40">
        <v>2017</v>
      </c>
      <c r="D383" s="40">
        <f>IF(H382&gt;=$E463,G382,G382-1)</f>
        <v>20</v>
      </c>
      <c r="E383" s="37">
        <f>IF(H382-$E463&gt;0,H382-$E463,H382-$E463+$E469)</f>
        <v>0.10833333333333356</v>
      </c>
      <c r="F383" s="40">
        <v>2017</v>
      </c>
      <c r="G383" s="40">
        <v>20</v>
      </c>
      <c r="H383" s="37">
        <v>0.77638888888888902</v>
      </c>
      <c r="I383" s="43">
        <v>50</v>
      </c>
      <c r="J383" s="43">
        <f>IF(I383=50,10,1)</f>
        <v>10</v>
      </c>
      <c r="K383" s="43"/>
      <c r="L383" s="438">
        <f>IF($I383&lt;192,0,IF($I383&gt;597,0, IF(VLOOKUP($I383,'CIRS Table Info'!$B$6:$J$425,3,FALSE)="Co-Add", 0.5,1) * (400 + IF(VLOOKUP($I383,'CIRS Table Info'!$B$6:$J$425,5,FALSE)="Data",1800,0) + IF(VLOOKUP($I383,'CIRS Table Info'!$B$6:$J$425,7,FALSE)="Data",1800,0) )))</f>
        <v>0</v>
      </c>
      <c r="M383" s="438">
        <f>VLOOKUP($B383,'CIRS Table IDs'!$B$6:$M$1001,12,FALSE)</f>
        <v>0</v>
      </c>
      <c r="N383" s="436" t="str">
        <f t="shared" si="20"/>
        <v/>
      </c>
    </row>
    <row r="384" spans="1:14" x14ac:dyDescent="0.2">
      <c r="A384" s="21">
        <v>157</v>
      </c>
      <c r="B384" s="45" t="s">
        <v>593</v>
      </c>
      <c r="C384" s="36">
        <v>2017</v>
      </c>
      <c r="D384" s="36">
        <v>20</v>
      </c>
      <c r="E384" s="37">
        <v>0.77638888888888902</v>
      </c>
      <c r="F384" s="36">
        <v>2017</v>
      </c>
      <c r="G384" s="36">
        <v>21</v>
      </c>
      <c r="H384" s="37">
        <v>0.109722222222222</v>
      </c>
      <c r="I384" s="43">
        <v>906</v>
      </c>
      <c r="J384" s="43">
        <f>IF(I384=50,10,1)</f>
        <v>1</v>
      </c>
      <c r="K384" s="43"/>
      <c r="L384" s="438">
        <f>IF($I384&lt;192,0,IF($I384&gt;597,0, IF(VLOOKUP($I384,'CIRS Table Info'!$B$6:$J$425,3,FALSE)="Co-Add", 0.5,1) * (400 + IF(VLOOKUP($I384,'CIRS Table Info'!$B$6:$J$425,5,FALSE)="Data",1800,0) + IF(VLOOKUP($I384,'CIRS Table Info'!$B$6:$J$425,7,FALSE)="Data",1800,0) )))</f>
        <v>0</v>
      </c>
      <c r="M384" s="438">
        <f>VLOOKUP($B384,'CIRS Table IDs'!$B$6:$M$1001,12,FALSE)</f>
        <v>3000</v>
      </c>
      <c r="N384" s="436" t="str">
        <f t="shared" si="20"/>
        <v/>
      </c>
    </row>
    <row r="385" spans="1:14" x14ac:dyDescent="0.2">
      <c r="A385" s="21"/>
      <c r="B385" s="45" t="s">
        <v>196</v>
      </c>
      <c r="C385" s="40">
        <v>2017</v>
      </c>
      <c r="D385" s="40">
        <f>IF(H384&gt;=$E463,G384,G384-1)</f>
        <v>21</v>
      </c>
      <c r="E385" s="37">
        <f>IF(H384-$E463&gt;0,H384-$E463,H384-$E463+$E469)</f>
        <v>0.10902777777777756</v>
      </c>
      <c r="F385" s="40">
        <v>2017</v>
      </c>
      <c r="G385" s="40">
        <v>21</v>
      </c>
      <c r="H385" s="37">
        <v>0.2</v>
      </c>
      <c r="I385" s="43">
        <v>602</v>
      </c>
      <c r="J385" s="43">
        <f>IF(I385=50,10,1)</f>
        <v>1</v>
      </c>
      <c r="K385" s="43"/>
      <c r="L385" s="438">
        <f>IF($I385&lt;192,0,IF($I385&gt;597,0, IF(VLOOKUP($I385,'CIRS Table Info'!$B$6:$J$425,3,FALSE)="Co-Add", 0.5,1) * (400 + IF(VLOOKUP($I385,'CIRS Table Info'!$B$6:$J$425,5,FALSE)="Data",1800,0) + IF(VLOOKUP($I385,'CIRS Table Info'!$B$6:$J$425,7,FALSE)="Data",1800,0) )))</f>
        <v>0</v>
      </c>
      <c r="M385" s="438">
        <f>VLOOKUP($B385,'CIRS Table IDs'!$B$6:$M$1001,12,FALSE)</f>
        <v>0</v>
      </c>
      <c r="N385" s="436" t="str">
        <f t="shared" si="20"/>
        <v/>
      </c>
    </row>
    <row r="386" spans="1:14" x14ac:dyDescent="0.2">
      <c r="A386" s="21">
        <v>158</v>
      </c>
      <c r="B386" s="45" t="s">
        <v>594</v>
      </c>
      <c r="C386" s="36">
        <v>2017</v>
      </c>
      <c r="D386" s="36">
        <v>21</v>
      </c>
      <c r="E386" s="37">
        <v>0.2</v>
      </c>
      <c r="F386" s="36">
        <v>2017</v>
      </c>
      <c r="G386" s="36">
        <v>21</v>
      </c>
      <c r="H386" s="37">
        <v>0.63888888888888895</v>
      </c>
      <c r="I386" s="43">
        <v>572</v>
      </c>
      <c r="J386" s="43">
        <v>2</v>
      </c>
      <c r="K386" s="43"/>
      <c r="L386" s="438">
        <f>IF($I386&lt;192,0,IF($I386&gt;597,0, IF(VLOOKUP($I386,'CIRS Table Info'!$B$6:$J$425,3,FALSE)="Co-Add", 0.5,1) * (400 + IF(VLOOKUP($I386,'CIRS Table Info'!$B$6:$J$425,5,FALSE)="Data",1800,0) + IF(VLOOKUP($I386,'CIRS Table Info'!$B$6:$J$425,7,FALSE)="Data",1800,0) )))</f>
        <v>2000</v>
      </c>
      <c r="M386" s="438">
        <f>VLOOKUP($B386,'CIRS Table IDs'!$B$6:$M$1001,12,FALSE)</f>
        <v>2000</v>
      </c>
      <c r="N386" s="436" t="str">
        <f t="shared" si="20"/>
        <v/>
      </c>
    </row>
    <row r="387" spans="1:14" x14ac:dyDescent="0.2">
      <c r="A387" s="21"/>
      <c r="B387" s="45" t="s">
        <v>197</v>
      </c>
      <c r="C387" s="40">
        <v>2017</v>
      </c>
      <c r="D387" s="40">
        <f>IF(H386&gt;=$E463,G386,G386-1)</f>
        <v>21</v>
      </c>
      <c r="E387" s="37">
        <f>IF(H386-$E463&gt;0,H386-$E463,H386-$E463+$E469)</f>
        <v>0.63819444444444451</v>
      </c>
      <c r="F387" s="40">
        <v>2017</v>
      </c>
      <c r="G387" s="40">
        <v>21</v>
      </c>
      <c r="H387" s="37">
        <v>0.77083333333333304</v>
      </c>
      <c r="I387" s="43">
        <v>50</v>
      </c>
      <c r="J387" s="43">
        <f>IF(I387=50,10,1)</f>
        <v>10</v>
      </c>
      <c r="K387" s="43"/>
      <c r="L387" s="438">
        <f>IF($I387&lt;192,0,IF($I387&gt;597,0, IF(VLOOKUP($I387,'CIRS Table Info'!$B$6:$J$425,3,FALSE)="Co-Add", 0.5,1) * (400 + IF(VLOOKUP($I387,'CIRS Table Info'!$B$6:$J$425,5,FALSE)="Data",1800,0) + IF(VLOOKUP($I387,'CIRS Table Info'!$B$6:$J$425,7,FALSE)="Data",1800,0) )))</f>
        <v>0</v>
      </c>
      <c r="M387" s="438">
        <f>VLOOKUP($B387,'CIRS Table IDs'!$B$6:$M$1001,12,FALSE)</f>
        <v>0</v>
      </c>
      <c r="N387" s="436" t="str">
        <f t="shared" si="20"/>
        <v/>
      </c>
    </row>
    <row r="388" spans="1:14" x14ac:dyDescent="0.2">
      <c r="A388" s="21">
        <v>159</v>
      </c>
      <c r="B388" s="45" t="s">
        <v>595</v>
      </c>
      <c r="C388" s="36">
        <v>2017</v>
      </c>
      <c r="D388" s="36">
        <v>21</v>
      </c>
      <c r="E388" s="37">
        <v>0.77083333333333304</v>
      </c>
      <c r="F388" s="36">
        <v>2017</v>
      </c>
      <c r="G388" s="36">
        <v>22</v>
      </c>
      <c r="H388" s="37">
        <v>0.104166666666667</v>
      </c>
      <c r="I388" s="43">
        <v>908</v>
      </c>
      <c r="J388" s="43">
        <f>IF(I388=50,10,1)</f>
        <v>1</v>
      </c>
      <c r="K388" s="43"/>
      <c r="L388" s="438">
        <f>IF($I388&lt;192,0,IF($I388&gt;597,0, IF(VLOOKUP($I388,'CIRS Table Info'!$B$6:$J$425,3,FALSE)="Co-Add", 0.5,1) * (400 + IF(VLOOKUP($I388,'CIRS Table Info'!$B$6:$J$425,5,FALSE)="Data",1800,0) + IF(VLOOKUP($I388,'CIRS Table Info'!$B$6:$J$425,7,FALSE)="Data",1800,0) )))</f>
        <v>0</v>
      </c>
      <c r="M388" s="438">
        <f>VLOOKUP($B388,'CIRS Table IDs'!$B$6:$M$1001,12,FALSE)</f>
        <v>3000</v>
      </c>
      <c r="N388" s="436" t="str">
        <f t="shared" si="20"/>
        <v/>
      </c>
    </row>
    <row r="389" spans="1:14" x14ac:dyDescent="0.2">
      <c r="A389" s="21"/>
      <c r="B389" s="45" t="s">
        <v>198</v>
      </c>
      <c r="C389" s="40">
        <v>2017</v>
      </c>
      <c r="D389" s="40">
        <f>IF(H388&gt;=$E463,G388,G388-1)</f>
        <v>22</v>
      </c>
      <c r="E389" s="37">
        <f>IF(H388-$E463&gt;0,H388-$E463,H388-$E463+$E469)</f>
        <v>0.10347222222222256</v>
      </c>
      <c r="F389" s="40">
        <v>2017</v>
      </c>
      <c r="G389" s="40">
        <v>22</v>
      </c>
      <c r="H389" s="37">
        <v>0.194444444444444</v>
      </c>
      <c r="I389" s="43">
        <v>602</v>
      </c>
      <c r="J389" s="43">
        <f>IF(I389=50,10,1)</f>
        <v>1</v>
      </c>
      <c r="K389" s="43"/>
      <c r="L389" s="438">
        <f>IF($I389&lt;192,0,IF($I389&gt;597,0, IF(VLOOKUP($I389,'CIRS Table Info'!$B$6:$J$425,3,FALSE)="Co-Add", 0.5,1) * (400 + IF(VLOOKUP($I389,'CIRS Table Info'!$B$6:$J$425,5,FALSE)="Data",1800,0) + IF(VLOOKUP($I389,'CIRS Table Info'!$B$6:$J$425,7,FALSE)="Data",1800,0) )))</f>
        <v>0</v>
      </c>
      <c r="M389" s="438">
        <f>VLOOKUP($B389,'CIRS Table IDs'!$B$6:$M$1001,12,FALSE)</f>
        <v>0</v>
      </c>
      <c r="N389" s="436" t="str">
        <f t="shared" si="20"/>
        <v/>
      </c>
    </row>
    <row r="390" spans="1:14" x14ac:dyDescent="0.2">
      <c r="A390" s="21">
        <v>160</v>
      </c>
      <c r="B390" s="45" t="s">
        <v>596</v>
      </c>
      <c r="C390" s="36">
        <v>2017</v>
      </c>
      <c r="D390" s="36">
        <v>22</v>
      </c>
      <c r="E390" s="37">
        <v>0.194444444444444</v>
      </c>
      <c r="F390" s="36">
        <v>2017</v>
      </c>
      <c r="G390" s="36">
        <v>22</v>
      </c>
      <c r="H390" s="37">
        <v>0.55555555555555602</v>
      </c>
      <c r="I390" s="43">
        <v>572</v>
      </c>
      <c r="J390" s="43">
        <v>2</v>
      </c>
      <c r="K390" s="43"/>
      <c r="L390" s="438">
        <f>IF($I390&lt;192,0,IF($I390&gt;597,0, IF(VLOOKUP($I390,'CIRS Table Info'!$B$6:$J$425,3,FALSE)="Co-Add", 0.5,1) * (400 + IF(VLOOKUP($I390,'CIRS Table Info'!$B$6:$J$425,5,FALSE)="Data",1800,0) + IF(VLOOKUP($I390,'CIRS Table Info'!$B$6:$J$425,7,FALSE)="Data",1800,0) )))</f>
        <v>2000</v>
      </c>
      <c r="M390" s="438">
        <f>VLOOKUP($B390,'CIRS Table IDs'!$B$6:$M$1001,12,FALSE)</f>
        <v>2000</v>
      </c>
      <c r="N390" s="436" t="str">
        <f t="shared" si="20"/>
        <v/>
      </c>
    </row>
    <row r="391" spans="1:14" x14ac:dyDescent="0.2">
      <c r="A391" s="21"/>
      <c r="B391" s="45" t="s">
        <v>199</v>
      </c>
      <c r="C391" s="40">
        <v>2017</v>
      </c>
      <c r="D391" s="40">
        <f>IF(H390&gt;=$E463,G390,G390-1)</f>
        <v>22</v>
      </c>
      <c r="E391" s="37">
        <f>IF(H390-$E463&gt;0,H390-$E463,H390-$E463+$E469)</f>
        <v>0.55486111111111158</v>
      </c>
      <c r="F391" s="40">
        <v>2017</v>
      </c>
      <c r="G391" s="40">
        <v>22</v>
      </c>
      <c r="H391" s="37">
        <v>0.6875</v>
      </c>
      <c r="I391" s="43">
        <v>50</v>
      </c>
      <c r="J391" s="43">
        <f>IF(I391=50,10,1)</f>
        <v>10</v>
      </c>
      <c r="K391" s="43"/>
      <c r="L391" s="438">
        <f>IF($I391&lt;192,0,IF($I391&gt;597,0, IF(VLOOKUP($I391,'CIRS Table Info'!$B$6:$J$425,3,FALSE)="Co-Add", 0.5,1) * (400 + IF(VLOOKUP($I391,'CIRS Table Info'!$B$6:$J$425,5,FALSE)="Data",1800,0) + IF(VLOOKUP($I391,'CIRS Table Info'!$B$6:$J$425,7,FALSE)="Data",1800,0) )))</f>
        <v>0</v>
      </c>
      <c r="M391" s="438">
        <f>VLOOKUP($B391,'CIRS Table IDs'!$B$6:$M$1001,12,FALSE)</f>
        <v>0</v>
      </c>
      <c r="N391" s="436" t="str">
        <f t="shared" si="20"/>
        <v/>
      </c>
    </row>
    <row r="392" spans="1:14" x14ac:dyDescent="0.2">
      <c r="A392" s="21">
        <v>161</v>
      </c>
      <c r="B392" s="45" t="s">
        <v>597</v>
      </c>
      <c r="C392" s="36">
        <v>2017</v>
      </c>
      <c r="D392" s="36">
        <v>22</v>
      </c>
      <c r="E392" s="37">
        <v>0.6875</v>
      </c>
      <c r="F392" s="36">
        <v>2017</v>
      </c>
      <c r="G392" s="36">
        <v>23</v>
      </c>
      <c r="H392" s="37">
        <v>0.17708333333333301</v>
      </c>
      <c r="I392" s="43">
        <v>910</v>
      </c>
      <c r="J392" s="43">
        <f>IF(I392=50,10,1)</f>
        <v>1</v>
      </c>
      <c r="K392" s="43"/>
      <c r="L392" s="438">
        <f>IF($I392&lt;192,0,IF($I392&gt;597,0, IF(VLOOKUP($I392,'CIRS Table Info'!$B$6:$J$425,3,FALSE)="Co-Add", 0.5,1) * (400 + IF(VLOOKUP($I392,'CIRS Table Info'!$B$6:$J$425,5,FALSE)="Data",1800,0) + IF(VLOOKUP($I392,'CIRS Table Info'!$B$6:$J$425,7,FALSE)="Data",1800,0) )))</f>
        <v>0</v>
      </c>
      <c r="M392" s="438">
        <f>VLOOKUP($B392,'CIRS Table IDs'!$B$6:$M$1001,12,FALSE)</f>
        <v>3000</v>
      </c>
      <c r="N392" s="436" t="str">
        <f t="shared" si="20"/>
        <v/>
      </c>
    </row>
    <row r="393" spans="1:14" x14ac:dyDescent="0.2">
      <c r="A393" s="21"/>
      <c r="B393" s="45" t="s">
        <v>200</v>
      </c>
      <c r="C393" s="40">
        <v>2017</v>
      </c>
      <c r="D393" s="40">
        <f>IF(H392&gt;=$E463,G392,G392-1)</f>
        <v>23</v>
      </c>
      <c r="E393" s="37">
        <f>IF(H392-$E463&gt;0,H392-$E463,H392-$E463+$E469)</f>
        <v>0.17638888888888857</v>
      </c>
      <c r="F393" s="40">
        <v>2017</v>
      </c>
      <c r="G393" s="40">
        <v>23</v>
      </c>
      <c r="H393" s="37">
        <v>0.20486111111111099</v>
      </c>
      <c r="I393" s="43">
        <v>602</v>
      </c>
      <c r="J393" s="43">
        <f>IF(I393=50,10,1)</f>
        <v>1</v>
      </c>
      <c r="K393" s="43"/>
      <c r="L393" s="438">
        <f>IF($I393&lt;192,0,IF($I393&gt;597,0, IF(VLOOKUP($I393,'CIRS Table Info'!$B$6:$J$425,3,FALSE)="Co-Add", 0.5,1) * (400 + IF(VLOOKUP($I393,'CIRS Table Info'!$B$6:$J$425,5,FALSE)="Data",1800,0) + IF(VLOOKUP($I393,'CIRS Table Info'!$B$6:$J$425,7,FALSE)="Data",1800,0) )))</f>
        <v>0</v>
      </c>
      <c r="M393" s="438">
        <f>VLOOKUP($B393,'CIRS Table IDs'!$B$6:$M$1001,12,FALSE)</f>
        <v>0</v>
      </c>
      <c r="N393" s="436" t="str">
        <f t="shared" si="20"/>
        <v/>
      </c>
    </row>
    <row r="394" spans="1:14" x14ac:dyDescent="0.2">
      <c r="A394" s="21">
        <v>162</v>
      </c>
      <c r="B394" s="45" t="s">
        <v>598</v>
      </c>
      <c r="C394" s="36">
        <v>2017</v>
      </c>
      <c r="D394" s="36">
        <v>23</v>
      </c>
      <c r="E394" s="37">
        <v>0.20486111111111099</v>
      </c>
      <c r="F394" s="36">
        <v>2017</v>
      </c>
      <c r="G394" s="36">
        <v>23</v>
      </c>
      <c r="H394" s="37">
        <v>0.62847222222222199</v>
      </c>
      <c r="I394" s="43">
        <v>572</v>
      </c>
      <c r="J394" s="43">
        <v>2</v>
      </c>
      <c r="K394" s="43"/>
      <c r="L394" s="438">
        <f>IF($I394&lt;192,0,IF($I394&gt;597,0, IF(VLOOKUP($I394,'CIRS Table Info'!$B$6:$J$425,3,FALSE)="Co-Add", 0.5,1) * (400 + IF(VLOOKUP($I394,'CIRS Table Info'!$B$6:$J$425,5,FALSE)="Data",1800,0) + IF(VLOOKUP($I394,'CIRS Table Info'!$B$6:$J$425,7,FALSE)="Data",1800,0) )))</f>
        <v>2000</v>
      </c>
      <c r="M394" s="438">
        <f>VLOOKUP($B394,'CIRS Table IDs'!$B$6:$M$1001,12,FALSE)</f>
        <v>2000</v>
      </c>
      <c r="N394" s="436" t="str">
        <f t="shared" si="20"/>
        <v/>
      </c>
    </row>
    <row r="395" spans="1:14" x14ac:dyDescent="0.2">
      <c r="A395" s="21"/>
      <c r="B395" s="45" t="s">
        <v>201</v>
      </c>
      <c r="C395" s="40">
        <v>2017</v>
      </c>
      <c r="D395" s="40">
        <f>IF(H394&gt;=$E463,G394,G394-1)</f>
        <v>23</v>
      </c>
      <c r="E395" s="37">
        <f>IF(H394-$E463&gt;0,H394-$E463,H394-$E463+$E469)</f>
        <v>0.62777777777777755</v>
      </c>
      <c r="F395" s="40">
        <v>2017</v>
      </c>
      <c r="G395" s="40">
        <v>23</v>
      </c>
      <c r="H395" s="37">
        <v>0.79513888888888895</v>
      </c>
      <c r="I395" s="43">
        <v>602</v>
      </c>
      <c r="J395" s="43">
        <f>IF(I395=50,10,1)</f>
        <v>1</v>
      </c>
      <c r="K395" s="43"/>
      <c r="L395" s="438">
        <f>IF($I395&lt;192,0,IF($I395&gt;597,0, IF(VLOOKUP($I395,'CIRS Table Info'!$B$6:$J$425,3,FALSE)="Co-Add", 0.5,1) * (400 + IF(VLOOKUP($I395,'CIRS Table Info'!$B$6:$J$425,5,FALSE)="Data",1800,0) + IF(VLOOKUP($I395,'CIRS Table Info'!$B$6:$J$425,7,FALSE)="Data",1800,0) )))</f>
        <v>0</v>
      </c>
      <c r="M395" s="438">
        <f>VLOOKUP($B395,'CIRS Table IDs'!$B$6:$M$1001,12,FALSE)</f>
        <v>0</v>
      </c>
      <c r="N395" s="436" t="str">
        <f t="shared" si="20"/>
        <v/>
      </c>
    </row>
    <row r="396" spans="1:14" x14ac:dyDescent="0.2">
      <c r="A396" s="21">
        <v>163</v>
      </c>
      <c r="B396" s="45" t="s">
        <v>599</v>
      </c>
      <c r="C396" s="36">
        <v>2017</v>
      </c>
      <c r="D396" s="36">
        <v>23</v>
      </c>
      <c r="E396" s="37">
        <v>0.79513888888888895</v>
      </c>
      <c r="F396" s="36">
        <v>2017</v>
      </c>
      <c r="G396" s="36">
        <v>24</v>
      </c>
      <c r="H396" s="37">
        <v>0.12291666666666699</v>
      </c>
      <c r="I396" s="43">
        <v>572</v>
      </c>
      <c r="J396" s="43">
        <v>2</v>
      </c>
      <c r="K396" s="43"/>
      <c r="L396" s="438">
        <f>IF($I396&lt;192,0,IF($I396&gt;597,0, IF(VLOOKUP($I396,'CIRS Table Info'!$B$6:$J$425,3,FALSE)="Co-Add", 0.5,1) * (400 + IF(VLOOKUP($I396,'CIRS Table Info'!$B$6:$J$425,5,FALSE)="Data",1800,0) + IF(VLOOKUP($I396,'CIRS Table Info'!$B$6:$J$425,7,FALSE)="Data",1800,0) )))</f>
        <v>2000</v>
      </c>
      <c r="M396" s="438">
        <f>VLOOKUP($B396,'CIRS Table IDs'!$B$6:$M$1001,12,FALSE)</f>
        <v>2000</v>
      </c>
      <c r="N396" s="436" t="str">
        <f t="shared" si="20"/>
        <v/>
      </c>
    </row>
    <row r="397" spans="1:14" x14ac:dyDescent="0.2">
      <c r="A397" s="21"/>
      <c r="B397" s="45" t="s">
        <v>202</v>
      </c>
      <c r="C397" s="40">
        <v>2017</v>
      </c>
      <c r="D397" s="40">
        <f>IF(H396&gt;=$E463,G396,G396-1)</f>
        <v>24</v>
      </c>
      <c r="E397" s="37">
        <f>IF(H396-$E463&gt;0,H396-$E463,H396-$E463+$E469)</f>
        <v>0.12222222222222255</v>
      </c>
      <c r="F397" s="40">
        <v>2017</v>
      </c>
      <c r="G397" s="40">
        <v>24</v>
      </c>
      <c r="H397" s="37">
        <v>0.75</v>
      </c>
      <c r="I397" s="43">
        <v>50</v>
      </c>
      <c r="J397" s="43">
        <f t="shared" ref="J397:J407" si="21">IF(I397=50,10,1)</f>
        <v>10</v>
      </c>
      <c r="K397" s="43"/>
      <c r="L397" s="438">
        <f>IF($I397&lt;192,0,IF($I397&gt;597,0, IF(VLOOKUP($I397,'CIRS Table Info'!$B$6:$J$425,3,FALSE)="Co-Add", 0.5,1) * (400 + IF(VLOOKUP($I397,'CIRS Table Info'!$B$6:$J$425,5,FALSE)="Data",1800,0) + IF(VLOOKUP($I397,'CIRS Table Info'!$B$6:$J$425,7,FALSE)="Data",1800,0) )))</f>
        <v>0</v>
      </c>
      <c r="M397" s="438">
        <f>VLOOKUP($B397,'CIRS Table IDs'!$B$6:$M$1001,12,FALSE)</f>
        <v>0</v>
      </c>
      <c r="N397" s="436" t="str">
        <f t="shared" si="20"/>
        <v/>
      </c>
    </row>
    <row r="398" spans="1:14" x14ac:dyDescent="0.2">
      <c r="A398" s="21">
        <v>164</v>
      </c>
      <c r="B398" s="45" t="s">
        <v>600</v>
      </c>
      <c r="C398" s="36">
        <v>2017</v>
      </c>
      <c r="D398" s="36">
        <v>24</v>
      </c>
      <c r="E398" s="37">
        <v>0.75</v>
      </c>
      <c r="F398" s="36">
        <v>2017</v>
      </c>
      <c r="G398" s="36">
        <v>25</v>
      </c>
      <c r="H398" s="37">
        <v>9.375E-2</v>
      </c>
      <c r="I398" s="43">
        <v>913</v>
      </c>
      <c r="J398" s="43">
        <f t="shared" si="21"/>
        <v>1</v>
      </c>
      <c r="K398" s="43"/>
      <c r="L398" s="438">
        <f>IF($I398&lt;192,0,IF($I398&gt;597,0, IF(VLOOKUP($I398,'CIRS Table Info'!$B$6:$J$425,3,FALSE)="Co-Add", 0.5,1) * (400 + IF(VLOOKUP($I398,'CIRS Table Info'!$B$6:$J$425,5,FALSE)="Data",1800,0) + IF(VLOOKUP($I398,'CIRS Table Info'!$B$6:$J$425,7,FALSE)="Data",1800,0) )))</f>
        <v>0</v>
      </c>
      <c r="M398" s="438">
        <f>VLOOKUP($B398,'CIRS Table IDs'!$B$6:$M$1001,12,FALSE)</f>
        <v>3000</v>
      </c>
      <c r="N398" s="436" t="str">
        <f t="shared" si="20"/>
        <v/>
      </c>
    </row>
    <row r="399" spans="1:14" x14ac:dyDescent="0.2">
      <c r="A399" s="21"/>
      <c r="B399" s="45" t="s">
        <v>203</v>
      </c>
      <c r="C399" s="40">
        <v>2017</v>
      </c>
      <c r="D399" s="40">
        <f>IF(H398&gt;=$E463,G398,G398-1)</f>
        <v>25</v>
      </c>
      <c r="E399" s="37">
        <f>IF(H398-$E463&gt;0,H398-$E463,H398-$E463+$E469)</f>
        <v>9.3055555555555558E-2</v>
      </c>
      <c r="F399" s="40">
        <v>2017</v>
      </c>
      <c r="G399" s="40">
        <v>25</v>
      </c>
      <c r="H399" s="37">
        <v>0.51041666666666696</v>
      </c>
      <c r="I399" s="43">
        <v>50</v>
      </c>
      <c r="J399" s="43">
        <f t="shared" si="21"/>
        <v>10</v>
      </c>
      <c r="K399" s="43"/>
      <c r="L399" s="438">
        <f>IF($I399&lt;192,0,IF($I399&gt;597,0, IF(VLOOKUP($I399,'CIRS Table Info'!$B$6:$J$425,3,FALSE)="Co-Add", 0.5,1) * (400 + IF(VLOOKUP($I399,'CIRS Table Info'!$B$6:$J$425,5,FALSE)="Data",1800,0) + IF(VLOOKUP($I399,'CIRS Table Info'!$B$6:$J$425,7,FALSE)="Data",1800,0) )))</f>
        <v>0</v>
      </c>
      <c r="M399" s="438">
        <f>VLOOKUP($B399,'CIRS Table IDs'!$B$6:$M$1001,12,FALSE)</f>
        <v>0</v>
      </c>
      <c r="N399" s="436" t="str">
        <f t="shared" si="20"/>
        <v/>
      </c>
    </row>
    <row r="400" spans="1:14" x14ac:dyDescent="0.2">
      <c r="A400" s="21">
        <v>165</v>
      </c>
      <c r="B400" s="45" t="s">
        <v>601</v>
      </c>
      <c r="C400" s="36">
        <v>2017</v>
      </c>
      <c r="D400" s="36">
        <v>25</v>
      </c>
      <c r="E400" s="37">
        <v>0.51041666666666696</v>
      </c>
      <c r="F400" s="36">
        <v>2017</v>
      </c>
      <c r="G400" s="36">
        <v>25</v>
      </c>
      <c r="H400" s="37">
        <v>0.82291666666666696</v>
      </c>
      <c r="I400" s="43">
        <v>914</v>
      </c>
      <c r="J400" s="43">
        <f t="shared" si="21"/>
        <v>1</v>
      </c>
      <c r="K400" s="43"/>
      <c r="L400" s="438">
        <f>IF($I400&lt;192,0,IF($I400&gt;597,0, IF(VLOOKUP($I400,'CIRS Table Info'!$B$6:$J$425,3,FALSE)="Co-Add", 0.5,1) * (400 + IF(VLOOKUP($I400,'CIRS Table Info'!$B$6:$J$425,5,FALSE)="Data",1800,0) + IF(VLOOKUP($I400,'CIRS Table Info'!$B$6:$J$425,7,FALSE)="Data",1800,0) )))</f>
        <v>0</v>
      </c>
      <c r="M400" s="438">
        <f>VLOOKUP($B400,'CIRS Table IDs'!$B$6:$M$1001,12,FALSE)</f>
        <v>3000</v>
      </c>
      <c r="N400" s="436" t="str">
        <f t="shared" si="20"/>
        <v/>
      </c>
    </row>
    <row r="401" spans="1:14" x14ac:dyDescent="0.2">
      <c r="A401" s="21"/>
      <c r="B401" s="45" t="s">
        <v>204</v>
      </c>
      <c r="C401" s="40">
        <v>2017</v>
      </c>
      <c r="D401" s="40">
        <f>IF(H400&gt;=$E463,G400,G400-1)</f>
        <v>25</v>
      </c>
      <c r="E401" s="37">
        <f>IF(H400-$E463&gt;0,H400-$E463,H400-$E463+$E469)</f>
        <v>0.82222222222222252</v>
      </c>
      <c r="F401" s="40">
        <v>2017</v>
      </c>
      <c r="G401" s="40">
        <v>26</v>
      </c>
      <c r="H401" s="37">
        <v>0.76111111111111096</v>
      </c>
      <c r="I401" s="43">
        <v>50</v>
      </c>
      <c r="J401" s="43">
        <f t="shared" si="21"/>
        <v>10</v>
      </c>
      <c r="K401" s="43"/>
      <c r="L401" s="438">
        <f>IF($I401&lt;192,0,IF($I401&gt;597,0, IF(VLOOKUP($I401,'CIRS Table Info'!$B$6:$J$425,3,FALSE)="Co-Add", 0.5,1) * (400 + IF(VLOOKUP($I401,'CIRS Table Info'!$B$6:$J$425,5,FALSE)="Data",1800,0) + IF(VLOOKUP($I401,'CIRS Table Info'!$B$6:$J$425,7,FALSE)="Data",1800,0) )))</f>
        <v>0</v>
      </c>
      <c r="M401" s="438">
        <f>VLOOKUP($B401,'CIRS Table IDs'!$B$6:$M$1001,12,FALSE)</f>
        <v>0</v>
      </c>
      <c r="N401" s="436" t="str">
        <f t="shared" si="20"/>
        <v/>
      </c>
    </row>
    <row r="402" spans="1:14" x14ac:dyDescent="0.2">
      <c r="A402" s="21">
        <v>166</v>
      </c>
      <c r="B402" s="45" t="s">
        <v>602</v>
      </c>
      <c r="C402" s="36">
        <v>2017</v>
      </c>
      <c r="D402" s="36">
        <v>26</v>
      </c>
      <c r="E402" s="37">
        <v>0.76111111111111096</v>
      </c>
      <c r="F402" s="36">
        <v>2017</v>
      </c>
      <c r="G402" s="36">
        <v>27</v>
      </c>
      <c r="H402" s="37">
        <v>9.44444444444444E-2</v>
      </c>
      <c r="I402" s="43">
        <v>915</v>
      </c>
      <c r="J402" s="43">
        <f t="shared" si="21"/>
        <v>1</v>
      </c>
      <c r="K402" s="43"/>
      <c r="L402" s="438">
        <f>IF($I402&lt;192,0,IF($I402&gt;597,0, IF(VLOOKUP($I402,'CIRS Table Info'!$B$6:$J$425,3,FALSE)="Co-Add", 0.5,1) * (400 + IF(VLOOKUP($I402,'CIRS Table Info'!$B$6:$J$425,5,FALSE)="Data",1800,0) + IF(VLOOKUP($I402,'CIRS Table Info'!$B$6:$J$425,7,FALSE)="Data",1800,0) )))</f>
        <v>0</v>
      </c>
      <c r="M402" s="438">
        <f>VLOOKUP($B402,'CIRS Table IDs'!$B$6:$M$1001,12,FALSE)</f>
        <v>3000</v>
      </c>
      <c r="N402" s="436" t="str">
        <f t="shared" si="20"/>
        <v/>
      </c>
    </row>
    <row r="403" spans="1:14" x14ac:dyDescent="0.2">
      <c r="A403" s="21"/>
      <c r="B403" s="45" t="s">
        <v>205</v>
      </c>
      <c r="C403" s="40">
        <v>2017</v>
      </c>
      <c r="D403" s="40">
        <f>IF(H402&gt;=$E463,G402,G402-1)</f>
        <v>27</v>
      </c>
      <c r="E403" s="37">
        <f>IF(H402-$E463&gt;0,H402-$E463,H402-$E463+$E469)</f>
        <v>9.3749999999999958E-2</v>
      </c>
      <c r="F403" s="40">
        <v>2017</v>
      </c>
      <c r="G403" s="40">
        <v>27</v>
      </c>
      <c r="H403" s="37">
        <v>0.75555555555555598</v>
      </c>
      <c r="I403" s="43">
        <v>50</v>
      </c>
      <c r="J403" s="43">
        <f t="shared" si="21"/>
        <v>10</v>
      </c>
      <c r="K403" s="43"/>
      <c r="L403" s="438">
        <f>IF($I403&lt;192,0,IF($I403&gt;597,0, IF(VLOOKUP($I403,'CIRS Table Info'!$B$6:$J$425,3,FALSE)="Co-Add", 0.5,1) * (400 + IF(VLOOKUP($I403,'CIRS Table Info'!$B$6:$J$425,5,FALSE)="Data",1800,0) + IF(VLOOKUP($I403,'CIRS Table Info'!$B$6:$J$425,7,FALSE)="Data",1800,0) )))</f>
        <v>0</v>
      </c>
      <c r="M403" s="438">
        <f>VLOOKUP($B403,'CIRS Table IDs'!$B$6:$M$1001,12,FALSE)</f>
        <v>0</v>
      </c>
      <c r="N403" s="436" t="str">
        <f t="shared" si="20"/>
        <v/>
      </c>
    </row>
    <row r="404" spans="1:14" x14ac:dyDescent="0.2">
      <c r="A404" s="21">
        <v>167</v>
      </c>
      <c r="B404" s="45" t="s">
        <v>603</v>
      </c>
      <c r="C404" s="36">
        <v>2017</v>
      </c>
      <c r="D404" s="36">
        <v>27</v>
      </c>
      <c r="E404" s="37">
        <v>0.75555555555555598</v>
      </c>
      <c r="F404" s="36">
        <v>2017</v>
      </c>
      <c r="G404" s="36">
        <v>28</v>
      </c>
      <c r="H404" s="37">
        <v>8.8888888888888906E-2</v>
      </c>
      <c r="I404" s="43">
        <v>916</v>
      </c>
      <c r="J404" s="43">
        <f t="shared" si="21"/>
        <v>1</v>
      </c>
      <c r="K404" s="43"/>
      <c r="L404" s="438">
        <f>IF($I404&lt;192,0,IF($I404&gt;597,0, IF(VLOOKUP($I404,'CIRS Table Info'!$B$6:$J$425,3,FALSE)="Co-Add", 0.5,1) * (400 + IF(VLOOKUP($I404,'CIRS Table Info'!$B$6:$J$425,5,FALSE)="Data",1800,0) + IF(VLOOKUP($I404,'CIRS Table Info'!$B$6:$J$425,7,FALSE)="Data",1800,0) )))</f>
        <v>0</v>
      </c>
      <c r="M404" s="438">
        <f>VLOOKUP($B404,'CIRS Table IDs'!$B$6:$M$1001,12,FALSE)</f>
        <v>3000</v>
      </c>
      <c r="N404" s="436" t="str">
        <f t="shared" si="20"/>
        <v/>
      </c>
    </row>
    <row r="405" spans="1:14" x14ac:dyDescent="0.2">
      <c r="A405" s="21"/>
      <c r="B405" s="45" t="s">
        <v>206</v>
      </c>
      <c r="C405" s="40">
        <v>2017</v>
      </c>
      <c r="D405" s="40">
        <f>IF(H404&gt;=$E463,G404,G404-1)</f>
        <v>28</v>
      </c>
      <c r="E405" s="37">
        <f>IF(H404-$E463&gt;0,H404-$E463,H404-$E463+$E469)</f>
        <v>8.8194444444444464E-2</v>
      </c>
      <c r="F405" s="40">
        <v>2017</v>
      </c>
      <c r="G405" s="40">
        <v>28</v>
      </c>
      <c r="H405" s="37">
        <v>0.75555555555555598</v>
      </c>
      <c r="I405" s="43">
        <v>50</v>
      </c>
      <c r="J405" s="43">
        <f t="shared" si="21"/>
        <v>10</v>
      </c>
      <c r="K405" s="43"/>
      <c r="L405" s="438">
        <f>IF($I405&lt;192,0,IF($I405&gt;597,0, IF(VLOOKUP($I405,'CIRS Table Info'!$B$6:$J$425,3,FALSE)="Co-Add", 0.5,1) * (400 + IF(VLOOKUP($I405,'CIRS Table Info'!$B$6:$J$425,5,FALSE)="Data",1800,0) + IF(VLOOKUP($I405,'CIRS Table Info'!$B$6:$J$425,7,FALSE)="Data",1800,0) )))</f>
        <v>0</v>
      </c>
      <c r="M405" s="438">
        <f>VLOOKUP($B405,'CIRS Table IDs'!$B$6:$M$1001,12,FALSE)</f>
        <v>0</v>
      </c>
      <c r="N405" s="436" t="str">
        <f t="shared" si="20"/>
        <v/>
      </c>
    </row>
    <row r="406" spans="1:14" x14ac:dyDescent="0.2">
      <c r="A406" s="21">
        <v>168</v>
      </c>
      <c r="B406" s="45" t="s">
        <v>604</v>
      </c>
      <c r="C406" s="36">
        <v>2017</v>
      </c>
      <c r="D406" s="36">
        <v>28</v>
      </c>
      <c r="E406" s="37">
        <v>0.75555555555555598</v>
      </c>
      <c r="F406" s="36">
        <v>2017</v>
      </c>
      <c r="G406" s="36">
        <v>29</v>
      </c>
      <c r="H406" s="37">
        <v>8.8888888888888906E-2</v>
      </c>
      <c r="I406" s="43">
        <v>917</v>
      </c>
      <c r="J406" s="43">
        <f t="shared" si="21"/>
        <v>1</v>
      </c>
      <c r="K406" s="43"/>
      <c r="L406" s="438">
        <f>IF($I406&lt;192,0,IF($I406&gt;597,0, IF(VLOOKUP($I406,'CIRS Table Info'!$B$6:$J$425,3,FALSE)="Co-Add", 0.5,1) * (400 + IF(VLOOKUP($I406,'CIRS Table Info'!$B$6:$J$425,5,FALSE)="Data",1800,0) + IF(VLOOKUP($I406,'CIRS Table Info'!$B$6:$J$425,7,FALSE)="Data",1800,0) )))</f>
        <v>0</v>
      </c>
      <c r="M406" s="438">
        <f>VLOOKUP($B406,'CIRS Table IDs'!$B$6:$M$1001,12,FALSE)</f>
        <v>3000</v>
      </c>
      <c r="N406" s="436" t="str">
        <f t="shared" si="20"/>
        <v/>
      </c>
    </row>
    <row r="407" spans="1:14" x14ac:dyDescent="0.2">
      <c r="A407" s="21"/>
      <c r="B407" s="45" t="s">
        <v>297</v>
      </c>
      <c r="C407" s="40">
        <v>2017</v>
      </c>
      <c r="D407" s="40">
        <f>IF(H406&gt;=$E463,G406,G406-1)</f>
        <v>29</v>
      </c>
      <c r="E407" s="37">
        <f>IF(H406-$E463&gt;0,H406-$E463,H406-$E463+$E469)</f>
        <v>8.8194444444444464E-2</v>
      </c>
      <c r="F407" s="40">
        <v>2017</v>
      </c>
      <c r="G407" s="40">
        <v>29</v>
      </c>
      <c r="H407" s="37">
        <v>8.8888888888888906E-2</v>
      </c>
      <c r="I407" s="43">
        <v>606</v>
      </c>
      <c r="J407" s="43">
        <f t="shared" si="21"/>
        <v>1</v>
      </c>
      <c r="K407" s="43"/>
      <c r="L407" s="438">
        <f>IF($I407&lt;192,0,IF($I407&gt;597,0, IF(VLOOKUP($I407,'CIRS Table Info'!$B$6:$J$425,3,FALSE)="Co-Add", 0.5,1) * (400 + IF(VLOOKUP($I407,'CIRS Table Info'!$B$6:$J$425,5,FALSE)="Data",1800,0) + IF(VLOOKUP($I407,'CIRS Table Info'!$B$6:$J$425,7,FALSE)="Data",1800,0) )))</f>
        <v>0</v>
      </c>
      <c r="M407" s="438">
        <f>VLOOKUP($B407,'CIRS Table IDs'!$B$6:$M$1001,12,FALSE)</f>
        <v>0</v>
      </c>
      <c r="N407" s="436" t="str">
        <f t="shared" si="20"/>
        <v/>
      </c>
    </row>
    <row r="408" spans="1:14" x14ac:dyDescent="0.2">
      <c r="A408" s="21">
        <v>169</v>
      </c>
      <c r="B408" s="45" t="s">
        <v>605</v>
      </c>
      <c r="C408" s="36">
        <v>2017</v>
      </c>
      <c r="D408" s="36">
        <v>29</v>
      </c>
      <c r="E408" s="37">
        <v>8.8888888888888906E-2</v>
      </c>
      <c r="F408" s="36">
        <v>2017</v>
      </c>
      <c r="G408" s="36">
        <v>29</v>
      </c>
      <c r="H408" s="37">
        <v>0.15138888888888899</v>
      </c>
      <c r="I408" s="43">
        <v>341</v>
      </c>
      <c r="J408" s="43">
        <v>1</v>
      </c>
      <c r="K408" s="43"/>
      <c r="L408" s="438">
        <f>IF($I408&lt;192,0,IF($I408&gt;597,0, IF(VLOOKUP($I408,'CIRS Table Info'!$B$6:$J$425,3,FALSE)="Co-Add", 0.5,1) * (400 + IF(VLOOKUP($I408,'CIRS Table Info'!$B$6:$J$425,5,FALSE)="Data",1800,0) + IF(VLOOKUP($I408,'CIRS Table Info'!$B$6:$J$425,7,FALSE)="Data",1800,0) )))</f>
        <v>4000</v>
      </c>
      <c r="M408" s="438">
        <f>VLOOKUP($B408,'CIRS Table IDs'!$B$6:$M$1001,12,FALSE)</f>
        <v>4000</v>
      </c>
      <c r="N408" s="436" t="str">
        <f t="shared" si="20"/>
        <v/>
      </c>
    </row>
    <row r="409" spans="1:14" x14ac:dyDescent="0.2">
      <c r="A409" s="21"/>
      <c r="B409" s="45" t="s">
        <v>298</v>
      </c>
      <c r="C409" s="40">
        <v>2017</v>
      </c>
      <c r="D409" s="40">
        <f>IF(H408&gt;=$E463,G408,G408-1)</f>
        <v>29</v>
      </c>
      <c r="E409" s="37">
        <f>IF(H408-$E463&gt;0,H408-$E463,H408-$E463+$E469)</f>
        <v>0.15069444444444455</v>
      </c>
      <c r="F409" s="40">
        <v>2017</v>
      </c>
      <c r="G409" s="40">
        <v>29</v>
      </c>
      <c r="H409" s="37">
        <v>0.68333333333333302</v>
      </c>
      <c r="I409" s="43">
        <v>50</v>
      </c>
      <c r="J409" s="43">
        <f>IF(I409=50,10,1)</f>
        <v>10</v>
      </c>
      <c r="K409" s="43"/>
      <c r="L409" s="438">
        <f>IF($I409&lt;192,0,IF($I409&gt;597,0, IF(VLOOKUP($I409,'CIRS Table Info'!$B$6:$J$425,3,FALSE)="Co-Add", 0.5,1) * (400 + IF(VLOOKUP($I409,'CIRS Table Info'!$B$6:$J$425,5,FALSE)="Data",1800,0) + IF(VLOOKUP($I409,'CIRS Table Info'!$B$6:$J$425,7,FALSE)="Data",1800,0) )))</f>
        <v>0</v>
      </c>
      <c r="M409" s="438">
        <f>VLOOKUP($B409,'CIRS Table IDs'!$B$6:$M$1001,12,FALSE)</f>
        <v>0</v>
      </c>
      <c r="N409" s="436" t="str">
        <f t="shared" si="20"/>
        <v/>
      </c>
    </row>
    <row r="410" spans="1:14" x14ac:dyDescent="0.2">
      <c r="A410" s="21">
        <v>170</v>
      </c>
      <c r="B410" s="45" t="s">
        <v>606</v>
      </c>
      <c r="C410" s="36">
        <v>2017</v>
      </c>
      <c r="D410" s="36">
        <v>29</v>
      </c>
      <c r="E410" s="37">
        <v>0.68333333333333302</v>
      </c>
      <c r="F410" s="36">
        <v>2017</v>
      </c>
      <c r="G410" s="36">
        <v>30</v>
      </c>
      <c r="H410" s="37">
        <v>0.15138888888888899</v>
      </c>
      <c r="I410" s="43">
        <v>919</v>
      </c>
      <c r="J410" s="43">
        <f>IF(I410=50,10,1)</f>
        <v>1</v>
      </c>
      <c r="K410" s="43"/>
      <c r="L410" s="438">
        <f>IF($I410&lt;192,0,IF($I410&gt;597,0, IF(VLOOKUP($I410,'CIRS Table Info'!$B$6:$J$425,3,FALSE)="Co-Add", 0.5,1) * (400 + IF(VLOOKUP($I410,'CIRS Table Info'!$B$6:$J$425,5,FALSE)="Data",1800,0) + IF(VLOOKUP($I410,'CIRS Table Info'!$B$6:$J$425,7,FALSE)="Data",1800,0) )))</f>
        <v>0</v>
      </c>
      <c r="M410" s="438">
        <f>VLOOKUP($B410,'CIRS Table IDs'!$B$6:$M$1001,12,FALSE)</f>
        <v>3000</v>
      </c>
      <c r="N410" s="436" t="str">
        <f t="shared" si="20"/>
        <v/>
      </c>
    </row>
    <row r="411" spans="1:14" x14ac:dyDescent="0.2">
      <c r="A411" s="21"/>
      <c r="B411" s="45" t="s">
        <v>299</v>
      </c>
      <c r="C411" s="40">
        <v>2017</v>
      </c>
      <c r="D411" s="40">
        <f>IF(H410&gt;=$E463,G410,G410-1)</f>
        <v>30</v>
      </c>
      <c r="E411" s="37">
        <f>IF(H410-$E463&gt;0,H410-$E463,H410-$E463+$E469)</f>
        <v>0.15069444444444455</v>
      </c>
      <c r="F411" s="40">
        <v>2017</v>
      </c>
      <c r="G411" s="40">
        <v>30</v>
      </c>
      <c r="H411" s="37">
        <v>0.15138888888888899</v>
      </c>
      <c r="I411" s="43">
        <v>600</v>
      </c>
      <c r="J411" s="43">
        <f>IF(I411=50,10,1)</f>
        <v>1</v>
      </c>
      <c r="K411" s="43"/>
      <c r="L411" s="438">
        <f>IF($I411&lt;192,0,IF($I411&gt;597,0, IF(VLOOKUP($I411,'CIRS Table Info'!$B$6:$J$425,3,FALSE)="Co-Add", 0.5,1) * (400 + IF(VLOOKUP($I411,'CIRS Table Info'!$B$6:$J$425,5,FALSE)="Data",1800,0) + IF(VLOOKUP($I411,'CIRS Table Info'!$B$6:$J$425,7,FALSE)="Data",1800,0) )))</f>
        <v>0</v>
      </c>
      <c r="M411" s="438">
        <f>VLOOKUP($B411,'CIRS Table IDs'!$B$6:$M$1001,12,FALSE)</f>
        <v>0</v>
      </c>
      <c r="N411" s="436" t="str">
        <f t="shared" si="20"/>
        <v/>
      </c>
    </row>
    <row r="412" spans="1:14" x14ac:dyDescent="0.2">
      <c r="A412" s="21">
        <v>171</v>
      </c>
      <c r="B412" s="45" t="s">
        <v>607</v>
      </c>
      <c r="C412" s="36">
        <v>2017</v>
      </c>
      <c r="D412" s="36">
        <v>30</v>
      </c>
      <c r="E412" s="37">
        <v>0.15138888888888899</v>
      </c>
      <c r="F412" s="36">
        <v>2017</v>
      </c>
      <c r="G412" s="36">
        <v>30</v>
      </c>
      <c r="H412" s="37">
        <v>0.26250000000000001</v>
      </c>
      <c r="I412" s="43">
        <v>405</v>
      </c>
      <c r="J412" s="43">
        <v>2</v>
      </c>
      <c r="K412" s="43"/>
      <c r="L412" s="438">
        <f>IF($I412&lt;192,0,IF($I412&gt;597,0, IF(VLOOKUP($I412,'CIRS Table Info'!$B$6:$J$425,3,FALSE)="Co-Add", 0.5,1) * (400 + IF(VLOOKUP($I412,'CIRS Table Info'!$B$6:$J$425,5,FALSE)="Data",1800,0) + IF(VLOOKUP($I412,'CIRS Table Info'!$B$6:$J$425,7,FALSE)="Data",1800,0) )))</f>
        <v>4000</v>
      </c>
      <c r="M412" s="438">
        <f>VLOOKUP($B412,'CIRS Table IDs'!$B$6:$M$1001,12,FALSE)</f>
        <v>4000</v>
      </c>
      <c r="N412" s="436" t="str">
        <f t="shared" si="20"/>
        <v/>
      </c>
    </row>
    <row r="413" spans="1:14" x14ac:dyDescent="0.2">
      <c r="A413" s="21"/>
      <c r="B413" s="45" t="s">
        <v>300</v>
      </c>
      <c r="C413" s="40">
        <v>2017</v>
      </c>
      <c r="D413" s="40">
        <f>IF(H412&gt;=$E463,G412,G412-1)</f>
        <v>30</v>
      </c>
      <c r="E413" s="37">
        <f>IF(H412-$E463&gt;0,H412-$E463,H412-$E463+$E469)</f>
        <v>0.26180555555555557</v>
      </c>
      <c r="F413" s="40">
        <v>2017</v>
      </c>
      <c r="G413" s="40">
        <v>30</v>
      </c>
      <c r="H413" s="37">
        <v>0.26250000000000001</v>
      </c>
      <c r="I413" s="43">
        <v>600</v>
      </c>
      <c r="J413" s="43">
        <f>IF(I413=50,10,1)</f>
        <v>1</v>
      </c>
      <c r="K413" s="43"/>
      <c r="L413" s="438">
        <f>IF($I413&lt;192,0,IF($I413&gt;597,0, IF(VLOOKUP($I413,'CIRS Table Info'!$B$6:$J$425,3,FALSE)="Co-Add", 0.5,1) * (400 + IF(VLOOKUP($I413,'CIRS Table Info'!$B$6:$J$425,5,FALSE)="Data",1800,0) + IF(VLOOKUP($I413,'CIRS Table Info'!$B$6:$J$425,7,FALSE)="Data",1800,0) )))</f>
        <v>0</v>
      </c>
      <c r="M413" s="438">
        <f>VLOOKUP($B413,'CIRS Table IDs'!$B$6:$M$1001,12,FALSE)</f>
        <v>0</v>
      </c>
      <c r="N413" s="436" t="str">
        <f t="shared" si="20"/>
        <v/>
      </c>
    </row>
    <row r="414" spans="1:14" x14ac:dyDescent="0.2">
      <c r="A414" s="21">
        <v>172</v>
      </c>
      <c r="B414" s="45" t="s">
        <v>608</v>
      </c>
      <c r="C414" s="36">
        <v>2017</v>
      </c>
      <c r="D414" s="36">
        <v>30</v>
      </c>
      <c r="E414" s="37">
        <v>0.26250000000000001</v>
      </c>
      <c r="F414" s="36">
        <v>2017</v>
      </c>
      <c r="G414" s="36">
        <v>30</v>
      </c>
      <c r="H414" s="37">
        <v>0.32291666666666702</v>
      </c>
      <c r="I414" s="43">
        <v>405</v>
      </c>
      <c r="J414" s="43">
        <v>1</v>
      </c>
      <c r="K414" s="43"/>
      <c r="L414" s="438">
        <f>IF($I414&lt;192,0,IF($I414&gt;597,0, IF(VLOOKUP($I414,'CIRS Table Info'!$B$6:$J$425,3,FALSE)="Co-Add", 0.5,1) * (400 + IF(VLOOKUP($I414,'CIRS Table Info'!$B$6:$J$425,5,FALSE)="Data",1800,0) + IF(VLOOKUP($I414,'CIRS Table Info'!$B$6:$J$425,7,FALSE)="Data",1800,0) )))</f>
        <v>4000</v>
      </c>
      <c r="M414" s="438">
        <f>VLOOKUP($B414,'CIRS Table IDs'!$B$6:$M$1001,12,FALSE)</f>
        <v>4000</v>
      </c>
      <c r="N414" s="436" t="str">
        <f t="shared" si="20"/>
        <v/>
      </c>
    </row>
    <row r="415" spans="1:14" x14ac:dyDescent="0.2">
      <c r="A415" s="21"/>
      <c r="B415" s="45" t="s">
        <v>301</v>
      </c>
      <c r="C415" s="40">
        <v>2017</v>
      </c>
      <c r="D415" s="40">
        <f>IF(H414&gt;=$E463,G414,G414-1)</f>
        <v>30</v>
      </c>
      <c r="E415" s="37">
        <f>IF(H414-$E463&gt;0,H414-$E463,H414-$E463+$E469)</f>
        <v>0.32222222222222258</v>
      </c>
      <c r="F415" s="40">
        <v>2017</v>
      </c>
      <c r="G415" s="40">
        <v>30</v>
      </c>
      <c r="H415" s="37">
        <v>0.32291666666666702</v>
      </c>
      <c r="I415" s="43">
        <v>602</v>
      </c>
      <c r="J415" s="43">
        <f>IF(I415=50,10,1)</f>
        <v>1</v>
      </c>
      <c r="K415" s="43"/>
      <c r="L415" s="438">
        <f>IF($I415&lt;192,0,IF($I415&gt;597,0, IF(VLOOKUP($I415,'CIRS Table Info'!$B$6:$J$425,3,FALSE)="Co-Add", 0.5,1) * (400 + IF(VLOOKUP($I415,'CIRS Table Info'!$B$6:$J$425,5,FALSE)="Data",1800,0) + IF(VLOOKUP($I415,'CIRS Table Info'!$B$6:$J$425,7,FALSE)="Data",1800,0) )))</f>
        <v>0</v>
      </c>
      <c r="M415" s="438">
        <f>VLOOKUP($B415,'CIRS Table IDs'!$B$6:$M$1001,12,FALSE)</f>
        <v>0</v>
      </c>
      <c r="N415" s="436" t="str">
        <f t="shared" si="20"/>
        <v/>
      </c>
    </row>
    <row r="416" spans="1:14" x14ac:dyDescent="0.2">
      <c r="A416" s="21">
        <v>173</v>
      </c>
      <c r="B416" s="45" t="s">
        <v>609</v>
      </c>
      <c r="C416" s="36">
        <v>2017</v>
      </c>
      <c r="D416" s="36">
        <v>30</v>
      </c>
      <c r="E416" s="37">
        <v>0.32291666666666702</v>
      </c>
      <c r="F416" s="36">
        <v>2017</v>
      </c>
      <c r="G416" s="36">
        <v>30</v>
      </c>
      <c r="H416" s="37">
        <v>0.78125</v>
      </c>
      <c r="I416" s="43">
        <v>572</v>
      </c>
      <c r="J416" s="43">
        <v>2</v>
      </c>
      <c r="K416" s="43"/>
      <c r="L416" s="438">
        <f>IF($I416&lt;192,0,IF($I416&gt;597,0, IF(VLOOKUP($I416,'CIRS Table Info'!$B$6:$J$425,3,FALSE)="Co-Add", 0.5,1) * (400 + IF(VLOOKUP($I416,'CIRS Table Info'!$B$6:$J$425,5,FALSE)="Data",1800,0) + IF(VLOOKUP($I416,'CIRS Table Info'!$B$6:$J$425,7,FALSE)="Data",1800,0) )))</f>
        <v>2000</v>
      </c>
      <c r="M416" s="438">
        <f>VLOOKUP($B416,'CIRS Table IDs'!$B$6:$M$1001,12,FALSE)</f>
        <v>2000</v>
      </c>
      <c r="N416" s="436" t="str">
        <f t="shared" si="20"/>
        <v/>
      </c>
    </row>
    <row r="417" spans="1:14" x14ac:dyDescent="0.2">
      <c r="A417" s="21"/>
      <c r="B417" s="45" t="s">
        <v>302</v>
      </c>
      <c r="C417" s="40">
        <v>2017</v>
      </c>
      <c r="D417" s="40">
        <f>IF(H416&gt;=$E463,G416,G416-1)</f>
        <v>30</v>
      </c>
      <c r="E417" s="37">
        <f>IF(H416-$E463&gt;0,H416-$E463,H416-$E463+$E469)</f>
        <v>0.78055555555555556</v>
      </c>
      <c r="F417" s="40">
        <v>2017</v>
      </c>
      <c r="G417" s="40">
        <v>30</v>
      </c>
      <c r="H417" s="37">
        <v>0.78125</v>
      </c>
      <c r="I417" s="43">
        <v>600</v>
      </c>
      <c r="J417" s="43">
        <f>IF(I417=50,10,1)</f>
        <v>1</v>
      </c>
      <c r="K417" s="43"/>
      <c r="L417" s="438">
        <f>IF($I417&lt;192,0,IF($I417&gt;597,0, IF(VLOOKUP($I417,'CIRS Table Info'!$B$6:$J$425,3,FALSE)="Co-Add", 0.5,1) * (400 + IF(VLOOKUP($I417,'CIRS Table Info'!$B$6:$J$425,5,FALSE)="Data",1800,0) + IF(VLOOKUP($I417,'CIRS Table Info'!$B$6:$J$425,7,FALSE)="Data",1800,0) )))</f>
        <v>0</v>
      </c>
      <c r="M417" s="438">
        <f>VLOOKUP($B417,'CIRS Table IDs'!$B$6:$M$1001,12,FALSE)</f>
        <v>0</v>
      </c>
      <c r="N417" s="436" t="str">
        <f t="shared" si="20"/>
        <v/>
      </c>
    </row>
    <row r="418" spans="1:14" x14ac:dyDescent="0.2">
      <c r="A418" s="21">
        <v>174</v>
      </c>
      <c r="B418" s="45" t="s">
        <v>610</v>
      </c>
      <c r="C418" s="36">
        <v>2017</v>
      </c>
      <c r="D418" s="36">
        <v>30</v>
      </c>
      <c r="E418" s="37">
        <v>0.78125</v>
      </c>
      <c r="F418" s="36">
        <v>2017</v>
      </c>
      <c r="G418" s="36">
        <v>30</v>
      </c>
      <c r="H418" s="37">
        <v>0.80694444444444402</v>
      </c>
      <c r="I418" s="43">
        <v>355</v>
      </c>
      <c r="J418" s="43">
        <v>1</v>
      </c>
      <c r="K418" s="43"/>
      <c r="L418" s="438">
        <f>IF($I418&lt;192,0,IF($I418&gt;597,0, IF(VLOOKUP($I418,'CIRS Table Info'!$B$6:$J$425,3,FALSE)="Co-Add", 0.5,1) * (400 + IF(VLOOKUP($I418,'CIRS Table Info'!$B$6:$J$425,5,FALSE)="Data",1800,0) + IF(VLOOKUP($I418,'CIRS Table Info'!$B$6:$J$425,7,FALSE)="Data",1800,0) )))</f>
        <v>4000</v>
      </c>
      <c r="M418" s="438">
        <f>VLOOKUP($B418,'CIRS Table IDs'!$B$6:$M$1001,12,FALSE)</f>
        <v>4000</v>
      </c>
      <c r="N418" s="436" t="str">
        <f t="shared" si="20"/>
        <v/>
      </c>
    </row>
    <row r="419" spans="1:14" x14ac:dyDescent="0.2">
      <c r="A419" s="21"/>
      <c r="B419" s="45" t="s">
        <v>650</v>
      </c>
      <c r="C419" s="36">
        <v>2017</v>
      </c>
      <c r="D419" s="36">
        <f>IF(H418&gt;=$E463,G418,G418-1)</f>
        <v>30</v>
      </c>
      <c r="E419" s="37">
        <f>IF(H418-$E463&gt;0,H418-$E463,H418-$E463+$E469)</f>
        <v>0.80624999999999958</v>
      </c>
      <c r="F419" s="36">
        <v>2017</v>
      </c>
      <c r="G419" s="36">
        <v>30</v>
      </c>
      <c r="H419" s="37">
        <v>0.80694444444444402</v>
      </c>
      <c r="I419" s="43">
        <v>600</v>
      </c>
      <c r="J419" s="43">
        <f>IF(I419=50,10,1)</f>
        <v>1</v>
      </c>
      <c r="K419" s="43"/>
      <c r="L419" s="438">
        <f>IF($I419&lt;192,0,IF($I419&gt;597,0, IF(VLOOKUP($I419,'CIRS Table Info'!$B$6:$J$425,3,FALSE)="Co-Add", 0.5,1) * (400 + IF(VLOOKUP($I419,'CIRS Table Info'!$B$6:$J$425,5,FALSE)="Data",1800,0) + IF(VLOOKUP($I419,'CIRS Table Info'!$B$6:$J$425,7,FALSE)="Data",1800,0) )))</f>
        <v>0</v>
      </c>
      <c r="M419" s="438">
        <f>VLOOKUP($B419,'CIRS Table IDs'!$B$6:$M$1001,12,FALSE)</f>
        <v>0</v>
      </c>
      <c r="N419" s="436" t="str">
        <f t="shared" si="20"/>
        <v/>
      </c>
    </row>
    <row r="420" spans="1:14" x14ac:dyDescent="0.2">
      <c r="A420" s="21">
        <v>175</v>
      </c>
      <c r="B420" s="45" t="s">
        <v>611</v>
      </c>
      <c r="C420" s="36">
        <v>2017</v>
      </c>
      <c r="D420" s="36">
        <v>30</v>
      </c>
      <c r="E420" s="37">
        <v>0.80694444444444402</v>
      </c>
      <c r="F420" s="36">
        <v>2017</v>
      </c>
      <c r="G420" s="36">
        <v>30</v>
      </c>
      <c r="H420" s="37">
        <v>0.88333333333333297</v>
      </c>
      <c r="I420" s="43">
        <v>405</v>
      </c>
      <c r="J420" s="43">
        <v>2</v>
      </c>
      <c r="K420" s="43"/>
      <c r="L420" s="438">
        <f>IF($I420&lt;192,0,IF($I420&gt;597,0, IF(VLOOKUP($I420,'CIRS Table Info'!$B$6:$J$425,3,FALSE)="Co-Add", 0.5,1) * (400 + IF(VLOOKUP($I420,'CIRS Table Info'!$B$6:$J$425,5,FALSE)="Data",1800,0) + IF(VLOOKUP($I420,'CIRS Table Info'!$B$6:$J$425,7,FALSE)="Data",1800,0) )))</f>
        <v>4000</v>
      </c>
      <c r="M420" s="438">
        <f>VLOOKUP($B420,'CIRS Table IDs'!$B$6:$M$1001,12,FALSE)</f>
        <v>4000</v>
      </c>
      <c r="N420" s="436" t="str">
        <f t="shared" si="20"/>
        <v/>
      </c>
    </row>
    <row r="421" spans="1:14" x14ac:dyDescent="0.2">
      <c r="A421" s="21"/>
      <c r="B421" s="45" t="s">
        <v>651</v>
      </c>
      <c r="C421" s="36">
        <v>2017</v>
      </c>
      <c r="D421" s="36">
        <f>IF(H420&gt;=$E463,G420,G420-1)</f>
        <v>30</v>
      </c>
      <c r="E421" s="37">
        <f>IF(H420-$E463&gt;0,H420-$E463,H420-$E463+$E469)</f>
        <v>0.88263888888888853</v>
      </c>
      <c r="F421" s="36">
        <v>2017</v>
      </c>
      <c r="G421" s="36">
        <v>30</v>
      </c>
      <c r="H421" s="37">
        <v>0.88333333333333297</v>
      </c>
      <c r="I421" s="43">
        <v>600</v>
      </c>
      <c r="J421" s="43">
        <f>IF(I421=50,10,1)</f>
        <v>1</v>
      </c>
      <c r="K421" s="43"/>
      <c r="L421" s="438">
        <f>IF($I421&lt;192,0,IF($I421&gt;597,0, IF(VLOOKUP($I421,'CIRS Table Info'!$B$6:$J$425,3,FALSE)="Co-Add", 0.5,1) * (400 + IF(VLOOKUP($I421,'CIRS Table Info'!$B$6:$J$425,5,FALSE)="Data",1800,0) + IF(VLOOKUP($I421,'CIRS Table Info'!$B$6:$J$425,7,FALSE)="Data",1800,0) )))</f>
        <v>0</v>
      </c>
      <c r="M421" s="438">
        <f>VLOOKUP($B421,'CIRS Table IDs'!$B$6:$M$1001,12,FALSE)</f>
        <v>0</v>
      </c>
      <c r="N421" s="436" t="str">
        <f t="shared" si="20"/>
        <v/>
      </c>
    </row>
    <row r="422" spans="1:14" x14ac:dyDescent="0.2">
      <c r="A422" s="21">
        <v>176</v>
      </c>
      <c r="B422" s="45" t="s">
        <v>612</v>
      </c>
      <c r="C422" s="36">
        <v>2017</v>
      </c>
      <c r="D422" s="36">
        <v>30</v>
      </c>
      <c r="E422" s="37">
        <v>0.88333333333333297</v>
      </c>
      <c r="F422" s="36">
        <v>2017</v>
      </c>
      <c r="G422" s="36">
        <v>30</v>
      </c>
      <c r="H422" s="37">
        <v>0.97222222222222199</v>
      </c>
      <c r="I422" s="43">
        <v>405</v>
      </c>
      <c r="J422" s="43">
        <v>2</v>
      </c>
      <c r="K422" s="43"/>
      <c r="L422" s="438">
        <f>IF($I422&lt;192,0,IF($I422&gt;597,0, IF(VLOOKUP($I422,'CIRS Table Info'!$B$6:$J$425,3,FALSE)="Co-Add", 0.5,1) * (400 + IF(VLOOKUP($I422,'CIRS Table Info'!$B$6:$J$425,5,FALSE)="Data",1800,0) + IF(VLOOKUP($I422,'CIRS Table Info'!$B$6:$J$425,7,FALSE)="Data",1800,0) )))</f>
        <v>4000</v>
      </c>
      <c r="M422" s="438">
        <f>VLOOKUP($B422,'CIRS Table IDs'!$B$6:$M$1001,12,FALSE)</f>
        <v>4000</v>
      </c>
      <c r="N422" s="436" t="str">
        <f t="shared" si="20"/>
        <v/>
      </c>
    </row>
    <row r="423" spans="1:14" x14ac:dyDescent="0.2">
      <c r="A423" s="21"/>
      <c r="B423" s="45" t="s">
        <v>652</v>
      </c>
      <c r="C423" s="36">
        <v>2017</v>
      </c>
      <c r="D423" s="36">
        <f>IF(H422&gt;=$E463,G422,G422-1)</f>
        <v>30</v>
      </c>
      <c r="E423" s="37">
        <f>IF(H422-$E463&gt;0,H422-$E463,H422-$E463+$E469)</f>
        <v>0.97152777777777755</v>
      </c>
      <c r="F423" s="36">
        <v>2017</v>
      </c>
      <c r="G423" s="36">
        <v>30</v>
      </c>
      <c r="H423" s="37">
        <v>0.97222222222222199</v>
      </c>
      <c r="I423" s="43">
        <v>600</v>
      </c>
      <c r="J423" s="43">
        <f t="shared" ref="J423:J436" si="22">IF(I423=50,10,1)</f>
        <v>1</v>
      </c>
      <c r="K423" s="43"/>
      <c r="L423" s="438">
        <f>IF($I423&lt;192,0,IF($I423&gt;597,0, IF(VLOOKUP($I423,'CIRS Table Info'!$B$6:$J$425,3,FALSE)="Co-Add", 0.5,1) * (400 + IF(VLOOKUP($I423,'CIRS Table Info'!$B$6:$J$425,5,FALSE)="Data",1800,0) + IF(VLOOKUP($I423,'CIRS Table Info'!$B$6:$J$425,7,FALSE)="Data",1800,0) )))</f>
        <v>0</v>
      </c>
      <c r="M423" s="438">
        <f>VLOOKUP($B423,'CIRS Table IDs'!$B$6:$M$1001,12,FALSE)</f>
        <v>0</v>
      </c>
      <c r="N423" s="436" t="str">
        <f t="shared" si="20"/>
        <v/>
      </c>
    </row>
    <row r="424" spans="1:14" x14ac:dyDescent="0.2">
      <c r="A424" s="21">
        <v>177</v>
      </c>
      <c r="B424" s="45" t="s">
        <v>613</v>
      </c>
      <c r="C424" s="36">
        <v>2017</v>
      </c>
      <c r="D424" s="36">
        <v>30</v>
      </c>
      <c r="E424" s="37">
        <v>0.97222222222222199</v>
      </c>
      <c r="F424" s="36">
        <v>2017</v>
      </c>
      <c r="G424" s="36">
        <v>31</v>
      </c>
      <c r="H424" s="37">
        <v>0.33333333333333298</v>
      </c>
      <c r="I424" s="43">
        <v>926</v>
      </c>
      <c r="J424" s="43">
        <f t="shared" si="22"/>
        <v>1</v>
      </c>
      <c r="K424" s="43"/>
      <c r="L424" s="438">
        <f>IF($I424&lt;192,0,IF($I424&gt;597,0, IF(VLOOKUP($I424,'CIRS Table Info'!$B$6:$J$425,3,FALSE)="Co-Add", 0.5,1) * (400 + IF(VLOOKUP($I424,'CIRS Table Info'!$B$6:$J$425,5,FALSE)="Data",1800,0) + IF(VLOOKUP($I424,'CIRS Table Info'!$B$6:$J$425,7,FALSE)="Data",1800,0) )))</f>
        <v>0</v>
      </c>
      <c r="M424" s="438">
        <f>VLOOKUP($B424,'CIRS Table IDs'!$B$6:$M$1001,12,FALSE)</f>
        <v>4000</v>
      </c>
      <c r="N424" s="436" t="str">
        <f t="shared" si="20"/>
        <v>Warning</v>
      </c>
    </row>
    <row r="425" spans="1:14" x14ac:dyDescent="0.2">
      <c r="A425" s="21"/>
      <c r="B425" s="45" t="s">
        <v>653</v>
      </c>
      <c r="C425" s="36">
        <v>2017</v>
      </c>
      <c r="D425" s="36">
        <f>IF(H424&gt;=$E463,G424,G424-1)</f>
        <v>31</v>
      </c>
      <c r="E425" s="37">
        <f>IF(H424-$E463&gt;0,H424-$E463,H424-$E463+$E469)</f>
        <v>0.33263888888888854</v>
      </c>
      <c r="F425" s="36">
        <v>2017</v>
      </c>
      <c r="G425" s="36">
        <v>31</v>
      </c>
      <c r="H425" s="37">
        <v>0.38611111111111102</v>
      </c>
      <c r="I425" s="43">
        <v>50</v>
      </c>
      <c r="J425" s="43">
        <f t="shared" si="22"/>
        <v>10</v>
      </c>
      <c r="K425" s="43"/>
      <c r="L425" s="438">
        <f>IF($I425&lt;192,0,IF($I425&gt;597,0, IF(VLOOKUP($I425,'CIRS Table Info'!$B$6:$J$425,3,FALSE)="Co-Add", 0.5,1) * (400 + IF(VLOOKUP($I425,'CIRS Table Info'!$B$6:$J$425,5,FALSE)="Data",1800,0) + IF(VLOOKUP($I425,'CIRS Table Info'!$B$6:$J$425,7,FALSE)="Data",1800,0) )))</f>
        <v>0</v>
      </c>
      <c r="M425" s="438">
        <f>VLOOKUP($B425,'CIRS Table IDs'!$B$6:$M$1001,12,FALSE)</f>
        <v>0</v>
      </c>
      <c r="N425" s="436" t="str">
        <f t="shared" si="20"/>
        <v/>
      </c>
    </row>
    <row r="426" spans="1:14" x14ac:dyDescent="0.2">
      <c r="A426" s="21">
        <v>178</v>
      </c>
      <c r="B426" s="45" t="s">
        <v>616</v>
      </c>
      <c r="C426" s="36">
        <v>2017</v>
      </c>
      <c r="D426" s="36">
        <v>31</v>
      </c>
      <c r="E426" s="37">
        <v>0.38611111111111102</v>
      </c>
      <c r="F426" s="36">
        <v>2017</v>
      </c>
      <c r="G426" s="36">
        <v>31</v>
      </c>
      <c r="H426" s="37">
        <v>0.469444444444444</v>
      </c>
      <c r="I426" s="43">
        <v>927</v>
      </c>
      <c r="J426" s="43">
        <f t="shared" si="22"/>
        <v>1</v>
      </c>
      <c r="K426" s="43"/>
      <c r="L426" s="438">
        <f>IF($I426&lt;192,0,IF($I426&gt;597,0, IF(VLOOKUP($I426,'CIRS Table Info'!$B$6:$J$425,3,FALSE)="Co-Add", 0.5,1) * (400 + IF(VLOOKUP($I426,'CIRS Table Info'!$B$6:$J$425,5,FALSE)="Data",1800,0) + IF(VLOOKUP($I426,'CIRS Table Info'!$B$6:$J$425,7,FALSE)="Data",1800,0) )))</f>
        <v>0</v>
      </c>
      <c r="M426" s="438">
        <f>VLOOKUP($B426,'CIRS Table IDs'!$B$6:$M$1001,12,FALSE)</f>
        <v>3000</v>
      </c>
      <c r="N426" s="436" t="str">
        <f t="shared" si="20"/>
        <v/>
      </c>
    </row>
    <row r="427" spans="1:14" x14ac:dyDescent="0.2">
      <c r="A427" s="21"/>
      <c r="B427" s="45" t="s">
        <v>654</v>
      </c>
      <c r="C427" s="36">
        <v>2017</v>
      </c>
      <c r="D427" s="36">
        <f>IF(H426&gt;=$E463,G426,G426-1)</f>
        <v>31</v>
      </c>
      <c r="E427" s="37">
        <f>IF(H426-$E463&gt;0,H426-$E463,H426-$E463+$E469)</f>
        <v>0.46874999999999956</v>
      </c>
      <c r="F427" s="36">
        <v>2017</v>
      </c>
      <c r="G427" s="36">
        <v>31</v>
      </c>
      <c r="H427" s="37">
        <v>0.469444444444444</v>
      </c>
      <c r="I427" s="43">
        <v>602</v>
      </c>
      <c r="J427" s="43">
        <f t="shared" si="22"/>
        <v>1</v>
      </c>
      <c r="K427" s="43"/>
      <c r="L427" s="438">
        <f>IF($I427&lt;192,0,IF($I427&gt;597,0, IF(VLOOKUP($I427,'CIRS Table Info'!$B$6:$J$425,3,FALSE)="Co-Add", 0.5,1) * (400 + IF(VLOOKUP($I427,'CIRS Table Info'!$B$6:$J$425,5,FALSE)="Data",1800,0) + IF(VLOOKUP($I427,'CIRS Table Info'!$B$6:$J$425,7,FALSE)="Data",1800,0) )))</f>
        <v>0</v>
      </c>
      <c r="M427" s="438">
        <f>VLOOKUP($B427,'CIRS Table IDs'!$B$6:$M$1001,12,FALSE)</f>
        <v>0</v>
      </c>
      <c r="N427" s="436" t="str">
        <f t="shared" si="20"/>
        <v/>
      </c>
    </row>
    <row r="428" spans="1:14" x14ac:dyDescent="0.2">
      <c r="A428" s="21">
        <v>179</v>
      </c>
      <c r="B428" s="45" t="s">
        <v>617</v>
      </c>
      <c r="C428" s="36">
        <v>2017</v>
      </c>
      <c r="D428" s="36">
        <v>31</v>
      </c>
      <c r="E428" s="37">
        <v>0.469444444444444</v>
      </c>
      <c r="F428" s="36">
        <v>2017</v>
      </c>
      <c r="G428" s="36">
        <v>31</v>
      </c>
      <c r="H428" s="37">
        <f>E429</f>
        <v>0.47280092592592587</v>
      </c>
      <c r="I428" s="43">
        <v>228</v>
      </c>
      <c r="J428" s="43">
        <f t="shared" si="22"/>
        <v>1</v>
      </c>
      <c r="K428" s="43"/>
      <c r="L428" s="438">
        <f>IF($I428&lt;192,0,IF($I428&gt;597,0, IF(VLOOKUP($I428,'CIRS Table Info'!$B$6:$J$425,3,FALSE)="Co-Add", 0.5,1) * (400 + IF(VLOOKUP($I428,'CIRS Table Info'!$B$6:$J$425,5,FALSE)="Data",1800,0) + IF(VLOOKUP($I428,'CIRS Table Info'!$B$6:$J$425,7,FALSE)="Data",1800,0) )))</f>
        <v>2200</v>
      </c>
      <c r="M428" s="438">
        <f>VLOOKUP($B428,'CIRS Table IDs'!$B$6:$M$1001,12,FALSE)</f>
        <v>2200</v>
      </c>
      <c r="N428" s="436" t="str">
        <f t="shared" si="20"/>
        <v/>
      </c>
    </row>
    <row r="429" spans="1:14" x14ac:dyDescent="0.2">
      <c r="A429" s="21"/>
      <c r="B429" s="45" t="s">
        <v>617</v>
      </c>
      <c r="C429" s="36">
        <v>2017</v>
      </c>
      <c r="D429" s="36">
        <v>31</v>
      </c>
      <c r="E429" s="37">
        <v>0.47280092592592587</v>
      </c>
      <c r="F429" s="36">
        <v>2017</v>
      </c>
      <c r="G429" s="36">
        <v>31</v>
      </c>
      <c r="H429" s="37">
        <f t="shared" ref="H429:H432" si="23">E430</f>
        <v>0.48749999999999999</v>
      </c>
      <c r="I429" s="43">
        <v>225</v>
      </c>
      <c r="J429" s="43">
        <f t="shared" si="22"/>
        <v>1</v>
      </c>
      <c r="K429" s="43"/>
      <c r="L429" s="438"/>
      <c r="M429" s="438"/>
      <c r="N429" s="436"/>
    </row>
    <row r="430" spans="1:14" x14ac:dyDescent="0.2">
      <c r="A430" s="21"/>
      <c r="B430" s="45" t="s">
        <v>617</v>
      </c>
      <c r="C430" s="36">
        <v>2017</v>
      </c>
      <c r="D430" s="36">
        <v>31</v>
      </c>
      <c r="E430" s="37">
        <v>0.48749999999999999</v>
      </c>
      <c r="F430" s="36">
        <v>2017</v>
      </c>
      <c r="G430" s="36">
        <v>31</v>
      </c>
      <c r="H430" s="37">
        <f t="shared" si="23"/>
        <v>0.49085648148148148</v>
      </c>
      <c r="I430" s="43">
        <v>205</v>
      </c>
      <c r="J430" s="43">
        <f t="shared" si="22"/>
        <v>1</v>
      </c>
      <c r="K430" s="43"/>
      <c r="L430" s="438"/>
      <c r="M430" s="438"/>
      <c r="N430" s="436"/>
    </row>
    <row r="431" spans="1:14" x14ac:dyDescent="0.2">
      <c r="A431" s="21"/>
      <c r="B431" s="45" t="s">
        <v>617</v>
      </c>
      <c r="C431" s="36">
        <v>2017</v>
      </c>
      <c r="D431" s="36">
        <v>31</v>
      </c>
      <c r="E431" s="37">
        <v>0.49085648148148148</v>
      </c>
      <c r="F431" s="36">
        <v>2017</v>
      </c>
      <c r="G431" s="36">
        <v>31</v>
      </c>
      <c r="H431" s="37">
        <f t="shared" si="23"/>
        <v>0.51307870370370368</v>
      </c>
      <c r="I431" s="43">
        <v>202</v>
      </c>
      <c r="J431" s="43">
        <f t="shared" si="22"/>
        <v>1</v>
      </c>
      <c r="K431" s="43"/>
      <c r="L431" s="438"/>
      <c r="M431" s="438"/>
      <c r="N431" s="436"/>
    </row>
    <row r="432" spans="1:14" x14ac:dyDescent="0.2">
      <c r="A432" s="21"/>
      <c r="B432" s="45" t="s">
        <v>617</v>
      </c>
      <c r="C432" s="36">
        <v>2017</v>
      </c>
      <c r="D432" s="36">
        <v>31</v>
      </c>
      <c r="E432" s="37">
        <v>0.51307870370370368</v>
      </c>
      <c r="F432" s="36">
        <v>2017</v>
      </c>
      <c r="G432" s="36">
        <v>31</v>
      </c>
      <c r="H432" s="37">
        <f t="shared" si="23"/>
        <v>0.67372685185185188</v>
      </c>
      <c r="I432" s="43">
        <v>225</v>
      </c>
      <c r="J432" s="43">
        <f t="shared" si="22"/>
        <v>1</v>
      </c>
      <c r="K432" s="43"/>
      <c r="L432" s="438"/>
      <c r="M432" s="438"/>
      <c r="N432" s="436"/>
    </row>
    <row r="433" spans="1:14" x14ac:dyDescent="0.2">
      <c r="A433" s="21"/>
      <c r="B433" s="45" t="s">
        <v>617</v>
      </c>
      <c r="C433" s="36">
        <v>2017</v>
      </c>
      <c r="D433" s="36">
        <v>31</v>
      </c>
      <c r="E433" s="37">
        <v>0.67372685185185188</v>
      </c>
      <c r="F433" s="36">
        <v>2017</v>
      </c>
      <c r="G433" s="36">
        <v>31</v>
      </c>
      <c r="H433" s="37">
        <v>0.67777777777777803</v>
      </c>
      <c r="I433" s="43">
        <v>228</v>
      </c>
      <c r="J433" s="43">
        <f t="shared" si="22"/>
        <v>1</v>
      </c>
      <c r="K433" s="43"/>
      <c r="L433" s="438"/>
      <c r="M433" s="438"/>
      <c r="N433" s="436"/>
    </row>
    <row r="434" spans="1:14" x14ac:dyDescent="0.2">
      <c r="A434" s="21"/>
      <c r="B434" s="45" t="s">
        <v>655</v>
      </c>
      <c r="C434" s="36">
        <v>2017</v>
      </c>
      <c r="D434" s="36">
        <v>31</v>
      </c>
      <c r="E434" s="37">
        <v>0.67708333333333359</v>
      </c>
      <c r="F434" s="36">
        <v>2017</v>
      </c>
      <c r="G434" s="36">
        <v>32</v>
      </c>
      <c r="H434" s="37">
        <v>0.19861111111111099</v>
      </c>
      <c r="I434" s="43">
        <v>50</v>
      </c>
      <c r="J434" s="43">
        <f t="shared" si="22"/>
        <v>10</v>
      </c>
      <c r="K434" s="43"/>
      <c r="L434" s="438">
        <f>IF($I434&lt;192,0,IF($I434&gt;597,0, IF(VLOOKUP($I434,'CIRS Table Info'!$B$6:$J$425,3,FALSE)="Co-Add", 0.5,1) * (400 + IF(VLOOKUP($I434,'CIRS Table Info'!$B$6:$J$425,5,FALSE)="Data",1800,0) + IF(VLOOKUP($I434,'CIRS Table Info'!$B$6:$J$425,7,FALSE)="Data",1800,0) )))</f>
        <v>0</v>
      </c>
      <c r="M434" s="438">
        <f>VLOOKUP($B434,'CIRS Table IDs'!$B$6:$M$1001,12,FALSE)</f>
        <v>0</v>
      </c>
      <c r="N434" s="436" t="str">
        <f t="shared" si="20"/>
        <v/>
      </c>
    </row>
    <row r="435" spans="1:14" x14ac:dyDescent="0.2">
      <c r="A435" s="21">
        <v>180</v>
      </c>
      <c r="B435" s="45" t="s">
        <v>620</v>
      </c>
      <c r="C435" s="36">
        <v>2017</v>
      </c>
      <c r="D435" s="36">
        <v>32</v>
      </c>
      <c r="E435" s="37">
        <v>0.19861111111111099</v>
      </c>
      <c r="F435" s="36">
        <v>2017</v>
      </c>
      <c r="G435" s="36">
        <v>32</v>
      </c>
      <c r="H435" s="37">
        <v>0.31874999999999998</v>
      </c>
      <c r="I435" s="43">
        <v>929</v>
      </c>
      <c r="J435" s="43">
        <f t="shared" si="22"/>
        <v>1</v>
      </c>
      <c r="K435" s="43"/>
      <c r="L435" s="438">
        <f>IF($I435&lt;192,0,IF($I435&gt;597,0, IF(VLOOKUP($I435,'CIRS Table Info'!$B$6:$J$425,3,FALSE)="Co-Add", 0.5,1) * (400 + IF(VLOOKUP($I435,'CIRS Table Info'!$B$6:$J$425,5,FALSE)="Data",1800,0) + IF(VLOOKUP($I435,'CIRS Table Info'!$B$6:$J$425,7,FALSE)="Data",1800,0) )))</f>
        <v>0</v>
      </c>
      <c r="M435" s="438">
        <f>VLOOKUP($B435,'CIRS Table IDs'!$B$6:$M$1001,12,FALSE)</f>
        <v>3000</v>
      </c>
      <c r="N435" s="436" t="str">
        <f t="shared" si="20"/>
        <v/>
      </c>
    </row>
    <row r="436" spans="1:14" x14ac:dyDescent="0.2">
      <c r="A436" s="21"/>
      <c r="B436" s="45" t="s">
        <v>656</v>
      </c>
      <c r="C436" s="36">
        <v>2017</v>
      </c>
      <c r="D436" s="36">
        <f>IF(H435&gt;=$E463,G435,G435-1)</f>
        <v>32</v>
      </c>
      <c r="E436" s="37">
        <f>IF(H435-$E463&gt;0,H435-$E463,H435-$E463+$E469)</f>
        <v>0.31805555555555554</v>
      </c>
      <c r="F436" s="36">
        <v>2017</v>
      </c>
      <c r="G436" s="36">
        <v>32</v>
      </c>
      <c r="H436" s="37">
        <v>0.34652777777777799</v>
      </c>
      <c r="I436" s="43">
        <v>606</v>
      </c>
      <c r="J436" s="43">
        <f t="shared" si="22"/>
        <v>1</v>
      </c>
      <c r="K436" s="43"/>
      <c r="L436" s="438">
        <f>IF($I436&lt;192,0,IF($I436&gt;597,0, IF(VLOOKUP($I436,'CIRS Table Info'!$B$6:$J$425,3,FALSE)="Co-Add", 0.5,1) * (400 + IF(VLOOKUP($I436,'CIRS Table Info'!$B$6:$J$425,5,FALSE)="Data",1800,0) + IF(VLOOKUP($I436,'CIRS Table Info'!$B$6:$J$425,7,FALSE)="Data",1800,0) )))</f>
        <v>0</v>
      </c>
      <c r="M436" s="438">
        <f>VLOOKUP($B436,'CIRS Table IDs'!$B$6:$M$1001,12,FALSE)</f>
        <v>0</v>
      </c>
      <c r="N436" s="436" t="str">
        <f t="shared" si="20"/>
        <v/>
      </c>
    </row>
    <row r="437" spans="1:14" x14ac:dyDescent="0.2">
      <c r="A437" s="21">
        <v>181</v>
      </c>
      <c r="B437" s="45" t="s">
        <v>621</v>
      </c>
      <c r="C437" s="36">
        <v>2017</v>
      </c>
      <c r="D437" s="36">
        <v>32</v>
      </c>
      <c r="E437" s="37">
        <v>0.34652777777777799</v>
      </c>
      <c r="F437" s="36">
        <v>2017</v>
      </c>
      <c r="G437" s="36">
        <v>32</v>
      </c>
      <c r="H437" s="37">
        <v>0.38819444444444401</v>
      </c>
      <c r="I437" s="43">
        <v>491</v>
      </c>
      <c r="J437" s="43">
        <v>1</v>
      </c>
      <c r="K437" s="43"/>
      <c r="L437" s="438">
        <f>IF($I437&lt;192,0,IF($I437&gt;597,0, IF(VLOOKUP($I437,'CIRS Table Info'!$B$6:$J$425,3,FALSE)="Co-Add", 0.5,1) * (400 + IF(VLOOKUP($I437,'CIRS Table Info'!$B$6:$J$425,5,FALSE)="Data",1800,0) + IF(VLOOKUP($I437,'CIRS Table Info'!$B$6:$J$425,7,FALSE)="Data",1800,0) )))</f>
        <v>4000</v>
      </c>
      <c r="M437" s="438">
        <f>VLOOKUP($B437,'CIRS Table IDs'!$B$6:$M$1001,12,FALSE)</f>
        <v>4000</v>
      </c>
      <c r="N437" s="436" t="str">
        <f t="shared" si="20"/>
        <v/>
      </c>
    </row>
    <row r="438" spans="1:14" x14ac:dyDescent="0.2">
      <c r="A438" s="21"/>
      <c r="B438" s="45" t="s">
        <v>657</v>
      </c>
      <c r="C438" s="36">
        <v>2017</v>
      </c>
      <c r="D438" s="36">
        <f>IF(H437&gt;=$E463,G437,G437-1)</f>
        <v>32</v>
      </c>
      <c r="E438" s="37">
        <f>IF(H437-$E463&gt;0,H437-$E463,H437-$E463+$E469)</f>
        <v>0.38749999999999957</v>
      </c>
      <c r="F438" s="36">
        <v>2017</v>
      </c>
      <c r="G438" s="36">
        <v>32</v>
      </c>
      <c r="H438" s="37">
        <v>0.38819444444444401</v>
      </c>
      <c r="I438" s="43">
        <v>602</v>
      </c>
      <c r="J438" s="43">
        <f>IF(I438=50,10,1)</f>
        <v>1</v>
      </c>
      <c r="K438" s="43"/>
      <c r="L438" s="438">
        <f>IF($I438&lt;192,0,IF($I438&gt;597,0, IF(VLOOKUP($I438,'CIRS Table Info'!$B$6:$J$425,3,FALSE)="Co-Add", 0.5,1) * (400 + IF(VLOOKUP($I438,'CIRS Table Info'!$B$6:$J$425,5,FALSE)="Data",1800,0) + IF(VLOOKUP($I438,'CIRS Table Info'!$B$6:$J$425,7,FALSE)="Data",1800,0) )))</f>
        <v>0</v>
      </c>
      <c r="M438" s="438">
        <f>VLOOKUP($B438,'CIRS Table IDs'!$B$6:$M$1001,12,FALSE)</f>
        <v>0</v>
      </c>
      <c r="N438" s="436" t="str">
        <f t="shared" si="20"/>
        <v/>
      </c>
    </row>
    <row r="439" spans="1:14" x14ac:dyDescent="0.2">
      <c r="A439" s="21">
        <v>182</v>
      </c>
      <c r="B439" s="45" t="s">
        <v>622</v>
      </c>
      <c r="C439" s="36">
        <v>2017</v>
      </c>
      <c r="D439" s="36">
        <v>32</v>
      </c>
      <c r="E439" s="37">
        <v>0.38819444444444401</v>
      </c>
      <c r="F439" s="36">
        <v>2017</v>
      </c>
      <c r="G439" s="36">
        <v>32</v>
      </c>
      <c r="H439" s="37">
        <v>0.54583333333333295</v>
      </c>
      <c r="I439" s="43">
        <v>467</v>
      </c>
      <c r="J439" s="43">
        <v>2</v>
      </c>
      <c r="K439" s="43"/>
      <c r="L439" s="438">
        <f>IF($I439&lt;192,0,IF($I439&gt;597,0, IF(VLOOKUP($I439,'CIRS Table Info'!$B$6:$J$425,3,FALSE)="Co-Add", 0.5,1) * (400 + IF(VLOOKUP($I439,'CIRS Table Info'!$B$6:$J$425,5,FALSE)="Data",1800,0) + IF(VLOOKUP($I439,'CIRS Table Info'!$B$6:$J$425,7,FALSE)="Data",1800,0) )))</f>
        <v>4000</v>
      </c>
      <c r="M439" s="438">
        <f>VLOOKUP($B439,'CIRS Table IDs'!$B$6:$M$1001,12,FALSE)</f>
        <v>3600</v>
      </c>
      <c r="N439" s="436" t="str">
        <f t="shared" si="20"/>
        <v>Error</v>
      </c>
    </row>
    <row r="440" spans="1:14" x14ac:dyDescent="0.2">
      <c r="A440" s="21"/>
      <c r="B440" s="45" t="s">
        <v>658</v>
      </c>
      <c r="C440" s="36">
        <v>2017</v>
      </c>
      <c r="D440" s="36">
        <f>IF(H439&gt;=$E463,G439,G439-1)</f>
        <v>32</v>
      </c>
      <c r="E440" s="37">
        <f>IF(H439-$E463&gt;0,H439-$E463,H439-$E463+$E469)</f>
        <v>0.54513888888888851</v>
      </c>
      <c r="F440" s="36">
        <v>2017</v>
      </c>
      <c r="G440" s="36">
        <v>32</v>
      </c>
      <c r="H440" s="37">
        <v>0.54583333333333295</v>
      </c>
      <c r="I440" s="43">
        <v>606</v>
      </c>
      <c r="J440" s="43">
        <f>IF(I440=50,10,1)</f>
        <v>1</v>
      </c>
      <c r="K440" s="43"/>
      <c r="L440" s="438">
        <f>IF($I440&lt;192,0,IF($I440&gt;597,0, IF(VLOOKUP($I440,'CIRS Table Info'!$B$6:$J$425,3,FALSE)="Co-Add", 0.5,1) * (400 + IF(VLOOKUP($I440,'CIRS Table Info'!$B$6:$J$425,5,FALSE)="Data",1800,0) + IF(VLOOKUP($I440,'CIRS Table Info'!$B$6:$J$425,7,FALSE)="Data",1800,0) )))</f>
        <v>0</v>
      </c>
      <c r="M440" s="438">
        <f>VLOOKUP($B440,'CIRS Table IDs'!$B$6:$M$1001,12,FALSE)</f>
        <v>0</v>
      </c>
      <c r="N440" s="436" t="str">
        <f t="shared" si="20"/>
        <v/>
      </c>
    </row>
    <row r="441" spans="1:14" x14ac:dyDescent="0.2">
      <c r="A441" s="21">
        <v>183</v>
      </c>
      <c r="B441" s="45" t="s">
        <v>623</v>
      </c>
      <c r="C441" s="36">
        <v>2017</v>
      </c>
      <c r="D441" s="36">
        <v>32</v>
      </c>
      <c r="E441" s="37">
        <v>0.54583333333333295</v>
      </c>
      <c r="F441" s="36">
        <v>2017</v>
      </c>
      <c r="G441" s="36">
        <v>32</v>
      </c>
      <c r="H441" s="37">
        <v>0.58750000000000002</v>
      </c>
      <c r="I441" s="43">
        <v>491</v>
      </c>
      <c r="J441" s="43">
        <v>1</v>
      </c>
      <c r="K441" s="43"/>
      <c r="L441" s="438">
        <f>IF($I441&lt;192,0,IF($I441&gt;597,0, IF(VLOOKUP($I441,'CIRS Table Info'!$B$6:$J$425,3,FALSE)="Co-Add", 0.5,1) * (400 + IF(VLOOKUP($I441,'CIRS Table Info'!$B$6:$J$425,5,FALSE)="Data",1800,0) + IF(VLOOKUP($I441,'CIRS Table Info'!$B$6:$J$425,7,FALSE)="Data",1800,0) )))</f>
        <v>4000</v>
      </c>
      <c r="M441" s="438">
        <f>VLOOKUP($B441,'CIRS Table IDs'!$B$6:$M$1001,12,FALSE)</f>
        <v>4000</v>
      </c>
      <c r="N441" s="436" t="str">
        <f t="shared" si="20"/>
        <v/>
      </c>
    </row>
    <row r="442" spans="1:14" x14ac:dyDescent="0.2">
      <c r="A442" s="21"/>
      <c r="B442" s="45" t="s">
        <v>659</v>
      </c>
      <c r="C442" s="36">
        <v>2017</v>
      </c>
      <c r="D442" s="36">
        <f>IF(H441&gt;=$E463,G441,G441-1)</f>
        <v>32</v>
      </c>
      <c r="E442" s="37">
        <f>IF(H441-$E463&gt;0,H441-$E463,H441-$E463+$E469)</f>
        <v>0.58680555555555558</v>
      </c>
      <c r="F442" s="36">
        <v>2017</v>
      </c>
      <c r="G442" s="36">
        <v>32</v>
      </c>
      <c r="H442" s="37">
        <v>0.58750000000000002</v>
      </c>
      <c r="I442" s="43">
        <v>606</v>
      </c>
      <c r="J442" s="43">
        <f>IF(I442=50,10,1)</f>
        <v>1</v>
      </c>
      <c r="K442" s="43"/>
      <c r="L442" s="438">
        <f>IF($I442&lt;192,0,IF($I442&gt;597,0, IF(VLOOKUP($I442,'CIRS Table Info'!$B$6:$J$425,3,FALSE)="Co-Add", 0.5,1) * (400 + IF(VLOOKUP($I442,'CIRS Table Info'!$B$6:$J$425,5,FALSE)="Data",1800,0) + IF(VLOOKUP($I442,'CIRS Table Info'!$B$6:$J$425,7,FALSE)="Data",1800,0) )))</f>
        <v>0</v>
      </c>
      <c r="M442" s="438">
        <f>VLOOKUP($B442,'CIRS Table IDs'!$B$6:$M$1001,12,FALSE)</f>
        <v>0</v>
      </c>
      <c r="N442" s="436" t="str">
        <f t="shared" si="20"/>
        <v/>
      </c>
    </row>
    <row r="443" spans="1:14" x14ac:dyDescent="0.2">
      <c r="A443" s="21">
        <v>184</v>
      </c>
      <c r="B443" s="45" t="s">
        <v>624</v>
      </c>
      <c r="C443" s="36">
        <v>2017</v>
      </c>
      <c r="D443" s="36">
        <v>32</v>
      </c>
      <c r="E443" s="37">
        <v>0.58750000000000002</v>
      </c>
      <c r="F443" s="36">
        <v>2017</v>
      </c>
      <c r="G443" s="36">
        <v>32</v>
      </c>
      <c r="H443" s="37">
        <v>0.80625000000000002</v>
      </c>
      <c r="I443" s="43">
        <v>591</v>
      </c>
      <c r="J443" s="43">
        <v>1</v>
      </c>
      <c r="K443" s="43"/>
      <c r="L443" s="438">
        <f>IF($I443&lt;192,0,IF($I443&gt;597,0, IF(VLOOKUP($I443,'CIRS Table Info'!$B$6:$J$425,3,FALSE)="Co-Add", 0.5,1) * (400 + IF(VLOOKUP($I443,'CIRS Table Info'!$B$6:$J$425,5,FALSE)="Data",1800,0) + IF(VLOOKUP($I443,'CIRS Table Info'!$B$6:$J$425,7,FALSE)="Data",1800,0) )))</f>
        <v>4000</v>
      </c>
      <c r="M443" s="438">
        <f>VLOOKUP($B443,'CIRS Table IDs'!$B$6:$M$1001,12,FALSE)</f>
        <v>4000</v>
      </c>
      <c r="N443" s="436" t="str">
        <f t="shared" si="20"/>
        <v/>
      </c>
    </row>
    <row r="444" spans="1:14" x14ac:dyDescent="0.2">
      <c r="A444" s="21"/>
      <c r="B444" s="45" t="s">
        <v>660</v>
      </c>
      <c r="C444" s="36">
        <v>2017</v>
      </c>
      <c r="D444" s="36">
        <f>IF(H443&gt;=$E463,G443,G443-1)</f>
        <v>32</v>
      </c>
      <c r="E444" s="37">
        <f>IF(H443-$E463&gt;0,H443-$E463,H443-$E463+$E469)</f>
        <v>0.80555555555555558</v>
      </c>
      <c r="F444" s="36">
        <v>2017</v>
      </c>
      <c r="G444" s="36">
        <v>32</v>
      </c>
      <c r="H444" s="37">
        <v>0.80625000000000002</v>
      </c>
      <c r="I444" s="43">
        <v>606</v>
      </c>
      <c r="J444" s="43">
        <f>IF(I444=50,10,1)</f>
        <v>1</v>
      </c>
      <c r="K444" s="43"/>
      <c r="L444" s="438">
        <f>IF($I444&lt;192,0,IF($I444&gt;597,0, IF(VLOOKUP($I444,'CIRS Table Info'!$B$6:$J$425,3,FALSE)="Co-Add", 0.5,1) * (400 + IF(VLOOKUP($I444,'CIRS Table Info'!$B$6:$J$425,5,FALSE)="Data",1800,0) + IF(VLOOKUP($I444,'CIRS Table Info'!$B$6:$J$425,7,FALSE)="Data",1800,0) )))</f>
        <v>0</v>
      </c>
      <c r="M444" s="438">
        <f>VLOOKUP($B444,'CIRS Table IDs'!$B$6:$M$1001,12,FALSE)</f>
        <v>0</v>
      </c>
      <c r="N444" s="436" t="str">
        <f t="shared" si="20"/>
        <v/>
      </c>
    </row>
    <row r="445" spans="1:14" x14ac:dyDescent="0.2">
      <c r="A445" s="21">
        <v>185</v>
      </c>
      <c r="B445" s="45" t="s">
        <v>627</v>
      </c>
      <c r="C445" s="36">
        <v>2017</v>
      </c>
      <c r="D445" s="36">
        <v>32</v>
      </c>
      <c r="E445" s="37">
        <v>0.80625000000000002</v>
      </c>
      <c r="F445" s="36">
        <v>2017</v>
      </c>
      <c r="G445" s="36">
        <v>32</v>
      </c>
      <c r="H445" s="37">
        <v>0.84791666666666698</v>
      </c>
      <c r="I445" s="43">
        <v>491</v>
      </c>
      <c r="J445" s="43">
        <v>1</v>
      </c>
      <c r="K445" s="43"/>
      <c r="L445" s="438">
        <f>IF($I445&lt;192,0,IF($I445&gt;597,0, IF(VLOOKUP($I445,'CIRS Table Info'!$B$6:$J$425,3,FALSE)="Co-Add", 0.5,1) * (400 + IF(VLOOKUP($I445,'CIRS Table Info'!$B$6:$J$425,5,FALSE)="Data",1800,0) + IF(VLOOKUP($I445,'CIRS Table Info'!$B$6:$J$425,7,FALSE)="Data",1800,0) )))</f>
        <v>4000</v>
      </c>
      <c r="M445" s="438">
        <f>VLOOKUP($B445,'CIRS Table IDs'!$B$6:$M$1001,12,FALSE)</f>
        <v>4000</v>
      </c>
      <c r="N445" s="436" t="str">
        <f t="shared" ref="N445:N460" si="24">IF(L445=M445,"",IF(RIGHT(B445,3)="_SP","",IF(I445&lt;700,"Error","Warning")))</f>
        <v/>
      </c>
    </row>
    <row r="446" spans="1:14" x14ac:dyDescent="0.2">
      <c r="A446" s="21"/>
      <c r="B446" s="45" t="s">
        <v>661</v>
      </c>
      <c r="C446" s="36">
        <v>2017</v>
      </c>
      <c r="D446" s="36">
        <f>IF(H445&gt;=$E463,G445,G445-1)</f>
        <v>32</v>
      </c>
      <c r="E446" s="37">
        <f>IF(H445-$E463&gt;0,H445-$E463,H445-$E463+$E469)</f>
        <v>0.84722222222222254</v>
      </c>
      <c r="F446" s="36">
        <v>2017</v>
      </c>
      <c r="G446" s="36">
        <v>32</v>
      </c>
      <c r="H446" s="37">
        <v>0.84791666666666698</v>
      </c>
      <c r="I446" s="43">
        <v>600</v>
      </c>
      <c r="J446" s="43">
        <f>IF(I446=50,10,1)</f>
        <v>1</v>
      </c>
      <c r="K446" s="43"/>
      <c r="L446" s="438">
        <f>IF($I446&lt;192,0,IF($I446&gt;597,0, IF(VLOOKUP($I446,'CIRS Table Info'!$B$6:$J$425,3,FALSE)="Co-Add", 0.5,1) * (400 + IF(VLOOKUP($I446,'CIRS Table Info'!$B$6:$J$425,5,FALSE)="Data",1800,0) + IF(VLOOKUP($I446,'CIRS Table Info'!$B$6:$J$425,7,FALSE)="Data",1800,0) )))</f>
        <v>0</v>
      </c>
      <c r="M446" s="438">
        <f>VLOOKUP($B446,'CIRS Table IDs'!$B$6:$M$1001,12,FALSE)</f>
        <v>0</v>
      </c>
      <c r="N446" s="436" t="str">
        <f t="shared" si="24"/>
        <v/>
      </c>
    </row>
    <row r="447" spans="1:14" x14ac:dyDescent="0.2">
      <c r="A447" s="21">
        <v>186</v>
      </c>
      <c r="B447" s="45" t="s">
        <v>628</v>
      </c>
      <c r="C447" s="36">
        <v>2017</v>
      </c>
      <c r="D447" s="36">
        <v>32</v>
      </c>
      <c r="E447" s="37">
        <v>0.84791666666666698</v>
      </c>
      <c r="F447" s="36">
        <v>2017</v>
      </c>
      <c r="G447" s="36">
        <v>33</v>
      </c>
      <c r="H447" s="37">
        <v>6.6666666666666693E-2</v>
      </c>
      <c r="I447" s="43">
        <v>505</v>
      </c>
      <c r="J447" s="43">
        <v>1</v>
      </c>
      <c r="K447" s="43"/>
      <c r="L447" s="438">
        <f>IF($I447&lt;192,0,IF($I447&gt;597,0, IF(VLOOKUP($I447,'CIRS Table Info'!$B$6:$J$425,3,FALSE)="Co-Add", 0.5,1) * (400 + IF(VLOOKUP($I447,'CIRS Table Info'!$B$6:$J$425,5,FALSE)="Data",1800,0) + IF(VLOOKUP($I447,'CIRS Table Info'!$B$6:$J$425,7,FALSE)="Data",1800,0) )))</f>
        <v>4000</v>
      </c>
      <c r="M447" s="438">
        <f>VLOOKUP($B447,'CIRS Table IDs'!$B$6:$M$1001,12,FALSE)</f>
        <v>3600</v>
      </c>
      <c r="N447" s="436" t="str">
        <f t="shared" si="24"/>
        <v>Error</v>
      </c>
    </row>
    <row r="448" spans="1:14" x14ac:dyDescent="0.2">
      <c r="A448" s="21"/>
      <c r="B448" s="45" t="s">
        <v>662</v>
      </c>
      <c r="C448" s="36">
        <v>2017</v>
      </c>
      <c r="D448" s="36">
        <f>IF(H447&gt;=$E463,G447,G447-1)</f>
        <v>33</v>
      </c>
      <c r="E448" s="37">
        <f>IF(H447-$E463&gt;0,H447-$E463,H447-$E463+$E469)</f>
        <v>6.5972222222222252E-2</v>
      </c>
      <c r="F448" s="36">
        <v>2017</v>
      </c>
      <c r="G448" s="36">
        <v>33</v>
      </c>
      <c r="H448" s="37">
        <v>6.6666666666666693E-2</v>
      </c>
      <c r="I448" s="43">
        <v>606</v>
      </c>
      <c r="J448" s="43">
        <f>IF(I448=50,10,1)</f>
        <v>1</v>
      </c>
      <c r="K448" s="43"/>
      <c r="L448" s="438">
        <f>IF($I448&lt;192,0,IF($I448&gt;597,0, IF(VLOOKUP($I448,'CIRS Table Info'!$B$6:$J$425,3,FALSE)="Co-Add", 0.5,1) * (400 + IF(VLOOKUP($I448,'CIRS Table Info'!$B$6:$J$425,5,FALSE)="Data",1800,0) + IF(VLOOKUP($I448,'CIRS Table Info'!$B$6:$J$425,7,FALSE)="Data",1800,0) )))</f>
        <v>0</v>
      </c>
      <c r="M448" s="438">
        <f>VLOOKUP($B448,'CIRS Table IDs'!$B$6:$M$1001,12,FALSE)</f>
        <v>0</v>
      </c>
      <c r="N448" s="436" t="str">
        <f t="shared" si="24"/>
        <v/>
      </c>
    </row>
    <row r="449" spans="1:14" x14ac:dyDescent="0.2">
      <c r="A449" s="21">
        <v>187</v>
      </c>
      <c r="B449" s="45" t="s">
        <v>629</v>
      </c>
      <c r="C449" s="36">
        <v>2017</v>
      </c>
      <c r="D449" s="36">
        <v>33</v>
      </c>
      <c r="E449" s="37">
        <v>6.6666666666666693E-2</v>
      </c>
      <c r="F449" s="36">
        <v>2017</v>
      </c>
      <c r="G449" s="36">
        <v>33</v>
      </c>
      <c r="H449" s="37">
        <v>0.108333333333333</v>
      </c>
      <c r="I449" s="43">
        <v>491</v>
      </c>
      <c r="J449" s="43">
        <v>1</v>
      </c>
      <c r="K449" s="43"/>
      <c r="L449" s="438">
        <f>IF($I449&lt;192,0,IF($I449&gt;597,0, IF(VLOOKUP($I449,'CIRS Table Info'!$B$6:$J$425,3,FALSE)="Co-Add", 0.5,1) * (400 + IF(VLOOKUP($I449,'CIRS Table Info'!$B$6:$J$425,5,FALSE)="Data",1800,0) + IF(VLOOKUP($I449,'CIRS Table Info'!$B$6:$J$425,7,FALSE)="Data",1800,0) )))</f>
        <v>4000</v>
      </c>
      <c r="M449" s="438">
        <f>VLOOKUP($B449,'CIRS Table IDs'!$B$6:$M$1001,12,FALSE)</f>
        <v>4000</v>
      </c>
      <c r="N449" s="436" t="str">
        <f t="shared" si="24"/>
        <v/>
      </c>
    </row>
    <row r="450" spans="1:14" x14ac:dyDescent="0.2">
      <c r="A450" s="21"/>
      <c r="B450" s="45" t="s">
        <v>663</v>
      </c>
      <c r="C450" s="36">
        <v>2017</v>
      </c>
      <c r="D450" s="36">
        <f>IF(H449&gt;=$E463,G449,G449-1)</f>
        <v>33</v>
      </c>
      <c r="E450" s="37">
        <f>IF(H449-$E463&gt;0,H449-$E463,H449-$E463+$E469)</f>
        <v>0.10763888888888856</v>
      </c>
      <c r="F450" s="36">
        <v>2017</v>
      </c>
      <c r="G450" s="36">
        <v>33</v>
      </c>
      <c r="H450" s="37">
        <v>0.108333333333333</v>
      </c>
      <c r="I450" s="43">
        <v>602</v>
      </c>
      <c r="J450" s="43">
        <f>IF(I450=50,10,1)</f>
        <v>1</v>
      </c>
      <c r="K450" s="43"/>
      <c r="L450" s="438">
        <f>IF($I450&lt;192,0,IF($I450&gt;597,0, IF(VLOOKUP($I450,'CIRS Table Info'!$B$6:$J$425,3,FALSE)="Co-Add", 0.5,1) * (400 + IF(VLOOKUP($I450,'CIRS Table Info'!$B$6:$J$425,5,FALSE)="Data",1800,0) + IF(VLOOKUP($I450,'CIRS Table Info'!$B$6:$J$425,7,FALSE)="Data",1800,0) )))</f>
        <v>0</v>
      </c>
      <c r="M450" s="438">
        <f>VLOOKUP($B450,'CIRS Table IDs'!$B$6:$M$1001,12,FALSE)</f>
        <v>0</v>
      </c>
      <c r="N450" s="436" t="str">
        <f t="shared" si="24"/>
        <v/>
      </c>
    </row>
    <row r="451" spans="1:14" x14ac:dyDescent="0.2">
      <c r="A451" s="21">
        <v>188</v>
      </c>
      <c r="B451" s="45" t="s">
        <v>630</v>
      </c>
      <c r="C451" s="36">
        <v>2017</v>
      </c>
      <c r="D451" s="36">
        <v>33</v>
      </c>
      <c r="E451" s="37">
        <v>0.108333333333333</v>
      </c>
      <c r="F451" s="36">
        <v>2017</v>
      </c>
      <c r="G451" s="36">
        <v>33</v>
      </c>
      <c r="H451" s="37">
        <v>0.4</v>
      </c>
      <c r="I451" s="43">
        <v>467</v>
      </c>
      <c r="J451" s="43">
        <v>2</v>
      </c>
      <c r="K451" s="43"/>
      <c r="L451" s="438">
        <f>IF($I451&lt;192,0,IF($I451&gt;597,0, IF(VLOOKUP($I451,'CIRS Table Info'!$B$6:$J$425,3,FALSE)="Co-Add", 0.5,1) * (400 + IF(VLOOKUP($I451,'CIRS Table Info'!$B$6:$J$425,5,FALSE)="Data",1800,0) + IF(VLOOKUP($I451,'CIRS Table Info'!$B$6:$J$425,7,FALSE)="Data",1800,0) )))</f>
        <v>4000</v>
      </c>
      <c r="M451" s="438">
        <f>VLOOKUP($B451,'CIRS Table IDs'!$B$6:$M$1001,12,FALSE)</f>
        <v>3600</v>
      </c>
      <c r="N451" s="436" t="str">
        <f t="shared" si="24"/>
        <v>Error</v>
      </c>
    </row>
    <row r="452" spans="1:14" x14ac:dyDescent="0.2">
      <c r="A452" s="21"/>
      <c r="B452" s="45" t="s">
        <v>664</v>
      </c>
      <c r="C452" s="36">
        <v>2017</v>
      </c>
      <c r="D452" s="36">
        <f>IF(H451&gt;=$E463,G451,G451-1)</f>
        <v>33</v>
      </c>
      <c r="E452" s="37">
        <f>IF(H451-$E463&gt;0,H451-$E463,H451-$E463+$E469)</f>
        <v>0.39930555555555558</v>
      </c>
      <c r="F452" s="36">
        <v>2017</v>
      </c>
      <c r="G452" s="36">
        <v>33</v>
      </c>
      <c r="H452" s="37">
        <v>0.4</v>
      </c>
      <c r="I452" s="43">
        <v>606</v>
      </c>
      <c r="J452" s="43">
        <f>IF(I452=50,10,1)</f>
        <v>1</v>
      </c>
      <c r="K452" s="43"/>
      <c r="L452" s="438">
        <f>IF($I452&lt;192,0,IF($I452&gt;597,0, IF(VLOOKUP($I452,'CIRS Table Info'!$B$6:$J$425,3,FALSE)="Co-Add", 0.5,1) * (400 + IF(VLOOKUP($I452,'CIRS Table Info'!$B$6:$J$425,5,FALSE)="Data",1800,0) + IF(VLOOKUP($I452,'CIRS Table Info'!$B$6:$J$425,7,FALSE)="Data",1800,0) )))</f>
        <v>0</v>
      </c>
      <c r="M452" s="438">
        <f>VLOOKUP($B452,'CIRS Table IDs'!$B$6:$M$1001,12,FALSE)</f>
        <v>0</v>
      </c>
      <c r="N452" s="436" t="str">
        <f t="shared" si="24"/>
        <v/>
      </c>
    </row>
    <row r="453" spans="1:14" x14ac:dyDescent="0.2">
      <c r="A453" s="21">
        <v>189</v>
      </c>
      <c r="B453" s="45" t="s">
        <v>631</v>
      </c>
      <c r="C453" s="36">
        <v>2017</v>
      </c>
      <c r="D453" s="36">
        <v>33</v>
      </c>
      <c r="E453" s="37">
        <v>0.4</v>
      </c>
      <c r="F453" s="36">
        <v>2017</v>
      </c>
      <c r="G453" s="36">
        <v>33</v>
      </c>
      <c r="H453" s="37">
        <v>0.63958333333333295</v>
      </c>
      <c r="I453" s="43">
        <v>591</v>
      </c>
      <c r="J453" s="43">
        <v>1</v>
      </c>
      <c r="K453" s="43"/>
      <c r="L453" s="438">
        <f>IF($I453&lt;192,0,IF($I453&gt;597,0, IF(VLOOKUP($I453,'CIRS Table Info'!$B$6:$J$425,3,FALSE)="Co-Add", 0.5,1) * (400 + IF(VLOOKUP($I453,'CIRS Table Info'!$B$6:$J$425,5,FALSE)="Data",1800,0) + IF(VLOOKUP($I453,'CIRS Table Info'!$B$6:$J$425,7,FALSE)="Data",1800,0) )))</f>
        <v>4000</v>
      </c>
      <c r="M453" s="438">
        <f>VLOOKUP($B453,'CIRS Table IDs'!$B$6:$M$1001,12,FALSE)</f>
        <v>3600</v>
      </c>
      <c r="N453" s="436" t="str">
        <f t="shared" si="24"/>
        <v>Error</v>
      </c>
    </row>
    <row r="454" spans="1:14" x14ac:dyDescent="0.2">
      <c r="A454" s="21"/>
      <c r="B454" s="45" t="s">
        <v>665</v>
      </c>
      <c r="C454" s="36">
        <v>2017</v>
      </c>
      <c r="D454" s="36">
        <f>IF(H453&gt;=$E463,G453,G453-1)</f>
        <v>33</v>
      </c>
      <c r="E454" s="37">
        <f>IF(H453-$E463&gt;0,H453-$E463,H453-$E463+$E469)</f>
        <v>0.63888888888888851</v>
      </c>
      <c r="F454" s="36">
        <v>2017</v>
      </c>
      <c r="G454" s="36">
        <v>33</v>
      </c>
      <c r="H454" s="37">
        <v>0.63958333333333295</v>
      </c>
      <c r="I454" s="43">
        <v>606</v>
      </c>
      <c r="J454" s="43">
        <f>IF(I454=50,10,1)</f>
        <v>1</v>
      </c>
      <c r="K454" s="43"/>
      <c r="L454" s="438">
        <f>IF($I454&lt;192,0,IF($I454&gt;597,0, IF(VLOOKUP($I454,'CIRS Table Info'!$B$6:$J$425,3,FALSE)="Co-Add", 0.5,1) * (400 + IF(VLOOKUP($I454,'CIRS Table Info'!$B$6:$J$425,5,FALSE)="Data",1800,0) + IF(VLOOKUP($I454,'CIRS Table Info'!$B$6:$J$425,7,FALSE)="Data",1800,0) )))</f>
        <v>0</v>
      </c>
      <c r="M454" s="438">
        <f>VLOOKUP($B454,'CIRS Table IDs'!$B$6:$M$1001,12,FALSE)</f>
        <v>0</v>
      </c>
      <c r="N454" s="436" t="str">
        <f t="shared" si="24"/>
        <v/>
      </c>
    </row>
    <row r="455" spans="1:14" x14ac:dyDescent="0.2">
      <c r="A455" s="21">
        <v>190</v>
      </c>
      <c r="B455" s="45" t="s">
        <v>633</v>
      </c>
      <c r="C455" s="36">
        <v>2017</v>
      </c>
      <c r="D455" s="36">
        <v>33</v>
      </c>
      <c r="E455" s="37">
        <v>0.63958333333333295</v>
      </c>
      <c r="F455" s="36">
        <v>2017</v>
      </c>
      <c r="G455" s="36">
        <v>33</v>
      </c>
      <c r="H455" s="37">
        <v>0.68125000000000002</v>
      </c>
      <c r="I455" s="43">
        <v>491</v>
      </c>
      <c r="J455" s="43">
        <v>1</v>
      </c>
      <c r="K455" s="43"/>
      <c r="L455" s="438">
        <f>IF($I455&lt;192,0,IF($I455&gt;597,0, IF(VLOOKUP($I455,'CIRS Table Info'!$B$6:$J$425,3,FALSE)="Co-Add", 0.5,1) * (400 + IF(VLOOKUP($I455,'CIRS Table Info'!$B$6:$J$425,5,FALSE)="Data",1800,0) + IF(VLOOKUP($I455,'CIRS Table Info'!$B$6:$J$425,7,FALSE)="Data",1800,0) )))</f>
        <v>4000</v>
      </c>
      <c r="M455" s="438">
        <f>VLOOKUP($B455,'CIRS Table IDs'!$B$6:$M$1001,12,FALSE)</f>
        <v>3600</v>
      </c>
      <c r="N455" s="436" t="str">
        <f t="shared" si="24"/>
        <v>Error</v>
      </c>
    </row>
    <row r="456" spans="1:14" x14ac:dyDescent="0.2">
      <c r="A456" s="21"/>
      <c r="B456" s="45" t="s">
        <v>666</v>
      </c>
      <c r="C456" s="36">
        <v>2017</v>
      </c>
      <c r="D456" s="36">
        <f>IF(H455&gt;=$E463,G455,G455-1)</f>
        <v>33</v>
      </c>
      <c r="E456" s="37">
        <f>IF(H455-$E463&gt;0,H455-$E463,H455-$E463+$E469)</f>
        <v>0.68055555555555558</v>
      </c>
      <c r="F456" s="36">
        <v>2017</v>
      </c>
      <c r="G456" s="36">
        <v>33</v>
      </c>
      <c r="H456" s="37">
        <v>0.750694444444444</v>
      </c>
      <c r="I456" s="43">
        <v>50</v>
      </c>
      <c r="J456" s="43">
        <f>IF(I456=50,10,1)</f>
        <v>10</v>
      </c>
      <c r="K456" s="43"/>
      <c r="L456" s="438">
        <f>IF($I456&lt;192,0,IF($I456&gt;597,0, IF(VLOOKUP($I456,'CIRS Table Info'!$B$6:$J$425,3,FALSE)="Co-Add", 0.5,1) * (400 + IF(VLOOKUP($I456,'CIRS Table Info'!$B$6:$J$425,5,FALSE)="Data",1800,0) + IF(VLOOKUP($I456,'CIRS Table Info'!$B$6:$J$425,7,FALSE)="Data",1800,0) )))</f>
        <v>0</v>
      </c>
      <c r="M456" s="438">
        <f>VLOOKUP($B456,'CIRS Table IDs'!$B$6:$M$1001,12,FALSE)</f>
        <v>0</v>
      </c>
      <c r="N456" s="436" t="str">
        <f t="shared" si="24"/>
        <v/>
      </c>
    </row>
    <row r="457" spans="1:14" x14ac:dyDescent="0.2">
      <c r="A457" s="21">
        <v>191</v>
      </c>
      <c r="B457" s="45" t="s">
        <v>634</v>
      </c>
      <c r="C457" s="36">
        <v>2017</v>
      </c>
      <c r="D457" s="36">
        <v>33</v>
      </c>
      <c r="E457" s="37">
        <v>0.750694444444444</v>
      </c>
      <c r="F457" s="36">
        <v>2017</v>
      </c>
      <c r="G457" s="36">
        <v>34</v>
      </c>
      <c r="H457" s="37">
        <v>0.15208333333333299</v>
      </c>
      <c r="I457" s="43">
        <v>940</v>
      </c>
      <c r="J457" s="43">
        <f>IF(I457=50,10,1)</f>
        <v>1</v>
      </c>
      <c r="K457" s="43"/>
      <c r="L457" s="438">
        <f>IF($I457&lt;192,0,IF($I457&gt;597,0, IF(VLOOKUP($I457,'CIRS Table Info'!$B$6:$J$425,3,FALSE)="Co-Add", 0.5,1) * (400 + IF(VLOOKUP($I457,'CIRS Table Info'!$B$6:$J$425,5,FALSE)="Data",1800,0) + IF(VLOOKUP($I457,'CIRS Table Info'!$B$6:$J$425,7,FALSE)="Data",1800,0) )))</f>
        <v>0</v>
      </c>
      <c r="M457" s="438">
        <f>VLOOKUP($B457,'CIRS Table IDs'!$B$6:$M$1001,12,FALSE)</f>
        <v>3000</v>
      </c>
      <c r="N457" s="436" t="str">
        <f t="shared" si="24"/>
        <v/>
      </c>
    </row>
    <row r="458" spans="1:14" x14ac:dyDescent="0.2">
      <c r="A458" s="21"/>
      <c r="B458" s="45" t="s">
        <v>667</v>
      </c>
      <c r="C458" s="36">
        <v>2017</v>
      </c>
      <c r="D458" s="36">
        <f>IF(H457&gt;=$E463,G457,G457-1)</f>
        <v>34</v>
      </c>
      <c r="E458" s="37">
        <f>IF(H457-$E463&gt;0,H457-$E463,H457-$E463+$E469)</f>
        <v>0.15138888888888855</v>
      </c>
      <c r="F458" s="36">
        <v>2017</v>
      </c>
      <c r="G458" s="36">
        <v>34</v>
      </c>
      <c r="H458" s="37">
        <v>0.19375000000000001</v>
      </c>
      <c r="I458" s="43">
        <v>50</v>
      </c>
      <c r="J458" s="43">
        <f>IF(I458=50,10,1)</f>
        <v>10</v>
      </c>
      <c r="K458" s="43"/>
      <c r="L458" s="438">
        <f>IF($I458&lt;192,0,IF($I458&gt;597,0, IF(VLOOKUP($I458,'CIRS Table Info'!$B$6:$J$425,3,FALSE)="Co-Add", 0.5,1) * (400 + IF(VLOOKUP($I458,'CIRS Table Info'!$B$6:$J$425,5,FALSE)="Data",1800,0) + IF(VLOOKUP($I458,'CIRS Table Info'!$B$6:$J$425,7,FALSE)="Data",1800,0) )))</f>
        <v>0</v>
      </c>
      <c r="M458" s="438">
        <f>VLOOKUP($B458,'CIRS Table IDs'!$B$6:$M$1001,12,FALSE)</f>
        <v>0</v>
      </c>
      <c r="N458" s="436" t="str">
        <f t="shared" si="24"/>
        <v/>
      </c>
    </row>
    <row r="459" spans="1:14" x14ac:dyDescent="0.2">
      <c r="A459" s="21">
        <v>192</v>
      </c>
      <c r="B459" s="45" t="s">
        <v>635</v>
      </c>
      <c r="C459" s="40">
        <v>2017</v>
      </c>
      <c r="D459" s="40">
        <v>34</v>
      </c>
      <c r="E459" s="37">
        <v>0.19375000000000001</v>
      </c>
      <c r="F459" s="40">
        <v>2017</v>
      </c>
      <c r="G459" s="40">
        <v>34</v>
      </c>
      <c r="H459" s="37">
        <v>0.29513888888888901</v>
      </c>
      <c r="I459" s="43">
        <v>941</v>
      </c>
      <c r="J459" s="43">
        <f>IF(I459=50,10,1)</f>
        <v>1</v>
      </c>
      <c r="K459" s="43"/>
      <c r="L459" s="438">
        <f>IF($I459&lt;192,0,IF($I459&gt;597,0, IF(VLOOKUP($I459,'CIRS Table Info'!$B$6:$J$425,3,FALSE)="Co-Add", 0.5,1) * (400 + IF(VLOOKUP($I459,'CIRS Table Info'!$B$6:$J$425,5,FALSE)="Data",1800,0) + IF(VLOOKUP($I459,'CIRS Table Info'!$B$6:$J$425,7,FALSE)="Data",1800,0) )))</f>
        <v>0</v>
      </c>
      <c r="M459" s="438">
        <f>VLOOKUP($B459,'CIRS Table IDs'!$B$6:$M$1001,12,FALSE)</f>
        <v>3000</v>
      </c>
      <c r="N459" s="436" t="str">
        <f t="shared" si="24"/>
        <v/>
      </c>
    </row>
    <row r="460" spans="1:14" ht="15.75" thickBot="1" x14ac:dyDescent="0.25">
      <c r="A460" s="21"/>
      <c r="B460" s="45" t="s">
        <v>668</v>
      </c>
      <c r="C460" s="36">
        <v>2017</v>
      </c>
      <c r="D460" s="36">
        <f>IF(H459&gt;=$E463,G459,G459-1)</f>
        <v>34</v>
      </c>
      <c r="E460" s="37">
        <f>IF(H459-$E463&gt;0,H459-$E463,H459-$E463+$E469)</f>
        <v>0.29444444444444456</v>
      </c>
      <c r="F460" s="36">
        <v>2017</v>
      </c>
      <c r="G460" s="36">
        <v>34</v>
      </c>
      <c r="H460" s="37">
        <v>0.29513888888888901</v>
      </c>
      <c r="I460" s="43">
        <v>50</v>
      </c>
      <c r="J460" s="43">
        <f>IF(I460=50,10,1)</f>
        <v>10</v>
      </c>
      <c r="K460" s="43"/>
      <c r="L460" s="438">
        <f>IF($I460&lt;192,0,IF($I460&gt;597,0, IF(VLOOKUP($I460,'CIRS Table Info'!$B$6:$J$425,3,FALSE)="Co-Add", 0.5,1) * (400 + IF(VLOOKUP($I460,'CIRS Table Info'!$B$6:$J$425,5,FALSE)="Data",1800,0) + IF(VLOOKUP($I460,'CIRS Table Info'!$B$6:$J$425,7,FALSE)="Data",1800,0) )))</f>
        <v>0</v>
      </c>
      <c r="M460" s="438">
        <f>VLOOKUP($B460,'CIRS Table IDs'!$B$6:$M$1001,12,FALSE)</f>
        <v>0</v>
      </c>
      <c r="N460" s="436" t="str">
        <f t="shared" si="24"/>
        <v/>
      </c>
    </row>
    <row r="461" spans="1:14" ht="15.75" thickBot="1" x14ac:dyDescent="0.25">
      <c r="A461" s="21"/>
      <c r="B461" s="470" t="s">
        <v>362</v>
      </c>
      <c r="C461" s="52">
        <v>2017</v>
      </c>
      <c r="D461" s="52">
        <v>34</v>
      </c>
      <c r="E461" s="53">
        <v>0.2951388888888889</v>
      </c>
      <c r="F461" s="363"/>
      <c r="G461" s="364"/>
      <c r="H461" s="365"/>
      <c r="I461" s="59" t="s">
        <v>296</v>
      </c>
      <c r="J461" s="59"/>
      <c r="K461" s="59"/>
      <c r="L461" s="398"/>
      <c r="M461" s="398"/>
      <c r="N461" s="398"/>
    </row>
    <row r="462" spans="1:14" x14ac:dyDescent="0.2">
      <c r="A462" s="21"/>
      <c r="B462" s="9"/>
      <c r="C462" s="8"/>
      <c r="D462" s="8"/>
      <c r="E462" s="12"/>
      <c r="F462" s="349"/>
      <c r="G462" s="349"/>
      <c r="H462" s="146"/>
      <c r="I462" s="64"/>
      <c r="J462" s="64"/>
      <c r="K462" s="64"/>
      <c r="L462" s="398"/>
      <c r="M462" s="398"/>
      <c r="N462" s="398"/>
    </row>
    <row r="463" spans="1:14" x14ac:dyDescent="0.2">
      <c r="E463" s="145">
        <v>6.9444444444444447E-4</v>
      </c>
      <c r="F463" s="14" t="s">
        <v>303</v>
      </c>
      <c r="L463" s="398"/>
      <c r="M463" s="398"/>
      <c r="N463" s="398"/>
    </row>
    <row r="464" spans="1:14" x14ac:dyDescent="0.2">
      <c r="L464" s="398"/>
      <c r="M464" s="398"/>
      <c r="N464" s="398"/>
    </row>
    <row r="465" spans="5:14" x14ac:dyDescent="0.2">
      <c r="E465" s="145">
        <v>2.7777777777777779E-3</v>
      </c>
      <c r="F465" s="14" t="s">
        <v>304</v>
      </c>
      <c r="L465" s="398"/>
      <c r="M465" s="398"/>
      <c r="N465" s="398"/>
    </row>
    <row r="466" spans="5:14" x14ac:dyDescent="0.2">
      <c r="L466" s="398"/>
      <c r="M466" s="398"/>
      <c r="N466" s="398"/>
    </row>
    <row r="467" spans="5:14" x14ac:dyDescent="0.2">
      <c r="E467" s="145">
        <v>1.3888888888888889E-3</v>
      </c>
      <c r="F467" s="14" t="s">
        <v>305</v>
      </c>
      <c r="L467" s="398"/>
      <c r="M467" s="398"/>
      <c r="N467" s="398"/>
    </row>
    <row r="468" spans="5:14" x14ac:dyDescent="0.2">
      <c r="L468" s="398"/>
      <c r="M468" s="398"/>
      <c r="N468" s="398"/>
    </row>
    <row r="469" spans="5:14" x14ac:dyDescent="0.2">
      <c r="E469" s="66">
        <v>1</v>
      </c>
      <c r="F469" s="14" t="s">
        <v>306</v>
      </c>
      <c r="L469" s="398"/>
      <c r="M469" s="398"/>
      <c r="N469" s="398"/>
    </row>
    <row r="470" spans="5:14" x14ac:dyDescent="0.2">
      <c r="L470" s="398"/>
      <c r="M470" s="398"/>
      <c r="N470" s="398"/>
    </row>
    <row r="471" spans="5:14" x14ac:dyDescent="0.2">
      <c r="L471" s="398"/>
      <c r="M471" s="398"/>
      <c r="N471" s="398"/>
    </row>
    <row r="472" spans="5:14" x14ac:dyDescent="0.2">
      <c r="L472" s="398"/>
      <c r="M472" s="398"/>
      <c r="N472" s="398"/>
    </row>
    <row r="473" spans="5:14" x14ac:dyDescent="0.2">
      <c r="L473" s="398"/>
      <c r="M473" s="398"/>
      <c r="N473" s="398"/>
    </row>
    <row r="474" spans="5:14" x14ac:dyDescent="0.2">
      <c r="L474" s="398"/>
      <c r="M474" s="398"/>
      <c r="N474" s="398"/>
    </row>
    <row r="475" spans="5:14" x14ac:dyDescent="0.2">
      <c r="L475" s="398"/>
      <c r="M475" s="398"/>
      <c r="N475" s="398"/>
    </row>
    <row r="476" spans="5:14" x14ac:dyDescent="0.2">
      <c r="L476" s="398"/>
      <c r="M476" s="398"/>
      <c r="N476" s="398"/>
    </row>
    <row r="477" spans="5:14" x14ac:dyDescent="0.2">
      <c r="L477" s="398"/>
      <c r="M477" s="398"/>
      <c r="N477" s="398"/>
    </row>
    <row r="478" spans="5:14" x14ac:dyDescent="0.2">
      <c r="L478" s="398"/>
      <c r="M478" s="398"/>
      <c r="N478" s="398"/>
    </row>
    <row r="479" spans="5:14" x14ac:dyDescent="0.2">
      <c r="L479" s="398"/>
      <c r="M479" s="398"/>
      <c r="N479" s="398"/>
    </row>
    <row r="480" spans="5:14" x14ac:dyDescent="0.2">
      <c r="L480" s="398"/>
      <c r="M480" s="398"/>
      <c r="N480" s="398"/>
    </row>
    <row r="481" spans="12:14" x14ac:dyDescent="0.2">
      <c r="L481" s="398"/>
      <c r="M481" s="398"/>
      <c r="N481" s="398"/>
    </row>
    <row r="482" spans="12:14" x14ac:dyDescent="0.2">
      <c r="L482" s="398"/>
      <c r="M482" s="398"/>
      <c r="N482" s="398"/>
    </row>
    <row r="483" spans="12:14" x14ac:dyDescent="0.2">
      <c r="L483" s="398"/>
      <c r="M483" s="398"/>
      <c r="N483" s="398"/>
    </row>
    <row r="484" spans="12:14" x14ac:dyDescent="0.2">
      <c r="L484" s="398"/>
      <c r="M484" s="398"/>
      <c r="N484" s="398"/>
    </row>
    <row r="485" spans="12:14" x14ac:dyDescent="0.2">
      <c r="L485" s="398"/>
      <c r="M485" s="398"/>
      <c r="N485" s="398"/>
    </row>
    <row r="486" spans="12:14" x14ac:dyDescent="0.2">
      <c r="L486" s="398"/>
      <c r="M486" s="398"/>
      <c r="N486" s="398"/>
    </row>
    <row r="487" spans="12:14" x14ac:dyDescent="0.2">
      <c r="L487" s="398"/>
      <c r="M487" s="398"/>
      <c r="N487" s="398"/>
    </row>
    <row r="488" spans="12:14" x14ac:dyDescent="0.2">
      <c r="L488" s="398"/>
      <c r="M488" s="398"/>
      <c r="N488" s="398"/>
    </row>
    <row r="489" spans="12:14" x14ac:dyDescent="0.2">
      <c r="L489" s="398"/>
      <c r="M489" s="398"/>
      <c r="N489" s="398"/>
    </row>
    <row r="490" spans="12:14" x14ac:dyDescent="0.2">
      <c r="L490" s="398"/>
      <c r="M490" s="398"/>
      <c r="N490" s="398"/>
    </row>
    <row r="491" spans="12:14" x14ac:dyDescent="0.2">
      <c r="L491" s="398"/>
      <c r="M491" s="398"/>
      <c r="N491" s="398"/>
    </row>
    <row r="492" spans="12:14" x14ac:dyDescent="0.2">
      <c r="L492" s="398"/>
      <c r="M492" s="398"/>
      <c r="N492" s="398"/>
    </row>
    <row r="493" spans="12:14" x14ac:dyDescent="0.2">
      <c r="L493" s="398"/>
      <c r="M493" s="398"/>
      <c r="N493" s="398"/>
    </row>
    <row r="494" spans="12:14" x14ac:dyDescent="0.2">
      <c r="L494" s="398"/>
      <c r="M494" s="398"/>
      <c r="N494" s="398"/>
    </row>
    <row r="495" spans="12:14" x14ac:dyDescent="0.2">
      <c r="L495" s="398"/>
      <c r="M495" s="398"/>
      <c r="N495" s="398"/>
    </row>
    <row r="496" spans="12:14" x14ac:dyDescent="0.2">
      <c r="L496" s="398"/>
      <c r="M496" s="398"/>
      <c r="N496" s="398"/>
    </row>
    <row r="497" spans="12:14" x14ac:dyDescent="0.2">
      <c r="L497" s="398"/>
      <c r="M497" s="398"/>
      <c r="N497" s="398"/>
    </row>
    <row r="498" spans="12:14" x14ac:dyDescent="0.2">
      <c r="L498" s="398"/>
      <c r="M498" s="398"/>
      <c r="N498" s="398"/>
    </row>
    <row r="499" spans="12:14" x14ac:dyDescent="0.2">
      <c r="L499" s="398"/>
      <c r="M499" s="398"/>
      <c r="N499" s="398"/>
    </row>
    <row r="500" spans="12:14" x14ac:dyDescent="0.2">
      <c r="L500" s="398"/>
      <c r="M500" s="398"/>
      <c r="N500" s="398"/>
    </row>
    <row r="501" spans="12:14" x14ac:dyDescent="0.2">
      <c r="L501" s="398"/>
      <c r="M501" s="398"/>
      <c r="N501" s="398"/>
    </row>
    <row r="502" spans="12:14" x14ac:dyDescent="0.2">
      <c r="L502" s="398"/>
      <c r="M502" s="398"/>
      <c r="N502" s="398"/>
    </row>
    <row r="503" spans="12:14" x14ac:dyDescent="0.2">
      <c r="L503" s="398"/>
      <c r="M503" s="398"/>
      <c r="N503" s="398"/>
    </row>
    <row r="504" spans="12:14" x14ac:dyDescent="0.2">
      <c r="L504" s="398"/>
      <c r="M504" s="398"/>
      <c r="N504" s="398"/>
    </row>
    <row r="505" spans="12:14" x14ac:dyDescent="0.2">
      <c r="L505" s="398"/>
      <c r="M505" s="398"/>
      <c r="N505" s="398"/>
    </row>
    <row r="506" spans="12:14" x14ac:dyDescent="0.2">
      <c r="L506" s="398"/>
      <c r="M506" s="398"/>
      <c r="N506" s="398"/>
    </row>
    <row r="507" spans="12:14" x14ac:dyDescent="0.2">
      <c r="L507" s="398"/>
      <c r="M507" s="398"/>
      <c r="N507" s="398"/>
    </row>
    <row r="508" spans="12:14" x14ac:dyDescent="0.2">
      <c r="L508" s="398"/>
      <c r="M508" s="398"/>
      <c r="N508" s="398"/>
    </row>
    <row r="509" spans="12:14" x14ac:dyDescent="0.2">
      <c r="L509" s="398"/>
      <c r="M509" s="398"/>
      <c r="N509" s="398"/>
    </row>
    <row r="510" spans="12:14" x14ac:dyDescent="0.2">
      <c r="L510" s="398"/>
      <c r="M510" s="398"/>
      <c r="N510" s="398"/>
    </row>
    <row r="511" spans="12:14" x14ac:dyDescent="0.2">
      <c r="L511" s="398"/>
      <c r="M511" s="398"/>
      <c r="N511" s="398"/>
    </row>
    <row r="512" spans="12:14" x14ac:dyDescent="0.2">
      <c r="L512" s="398"/>
      <c r="M512" s="398"/>
      <c r="N512" s="398"/>
    </row>
    <row r="513" spans="12:14" x14ac:dyDescent="0.2">
      <c r="L513" s="398"/>
      <c r="M513" s="398"/>
      <c r="N513" s="398"/>
    </row>
    <row r="514" spans="12:14" x14ac:dyDescent="0.2">
      <c r="L514" s="398"/>
      <c r="M514" s="398"/>
      <c r="N514" s="398"/>
    </row>
    <row r="515" spans="12:14" x14ac:dyDescent="0.2">
      <c r="L515" s="398"/>
      <c r="M515" s="398"/>
      <c r="N515" s="398"/>
    </row>
    <row r="516" spans="12:14" x14ac:dyDescent="0.2">
      <c r="L516" s="398"/>
      <c r="M516" s="398"/>
      <c r="N516" s="398"/>
    </row>
    <row r="517" spans="12:14" x14ac:dyDescent="0.2">
      <c r="L517" s="398"/>
      <c r="M517" s="398"/>
      <c r="N517" s="398"/>
    </row>
    <row r="518" spans="12:14" x14ac:dyDescent="0.2">
      <c r="L518" s="398"/>
      <c r="M518" s="398"/>
      <c r="N518" s="398"/>
    </row>
    <row r="519" spans="12:14" x14ac:dyDescent="0.2">
      <c r="L519" s="398"/>
      <c r="M519" s="398"/>
      <c r="N519" s="398"/>
    </row>
    <row r="520" spans="12:14" x14ac:dyDescent="0.2">
      <c r="L520" s="398"/>
      <c r="M520" s="398"/>
      <c r="N520" s="398"/>
    </row>
    <row r="521" spans="12:14" x14ac:dyDescent="0.2">
      <c r="L521" s="398"/>
      <c r="M521" s="398"/>
      <c r="N521" s="398"/>
    </row>
    <row r="522" spans="12:14" x14ac:dyDescent="0.2">
      <c r="L522" s="398"/>
      <c r="M522" s="398"/>
      <c r="N522" s="398"/>
    </row>
    <row r="523" spans="12:14" x14ac:dyDescent="0.2">
      <c r="L523" s="398"/>
      <c r="M523" s="398"/>
      <c r="N523" s="398"/>
    </row>
    <row r="524" spans="12:14" x14ac:dyDescent="0.2">
      <c r="L524" s="398"/>
      <c r="M524" s="398"/>
      <c r="N524" s="398"/>
    </row>
    <row r="525" spans="12:14" x14ac:dyDescent="0.2">
      <c r="L525" s="398"/>
      <c r="M525" s="398"/>
      <c r="N525" s="398"/>
    </row>
    <row r="526" spans="12:14" x14ac:dyDescent="0.2">
      <c r="L526" s="398"/>
      <c r="M526" s="398"/>
      <c r="N526" s="398"/>
    </row>
    <row r="527" spans="12:14" x14ac:dyDescent="0.2">
      <c r="L527" s="398"/>
      <c r="M527" s="398"/>
      <c r="N527" s="398"/>
    </row>
    <row r="528" spans="12:14" x14ac:dyDescent="0.2">
      <c r="L528" s="398"/>
      <c r="M528" s="398"/>
      <c r="N528" s="398"/>
    </row>
    <row r="529" spans="12:14" x14ac:dyDescent="0.2">
      <c r="L529" s="398"/>
      <c r="M529" s="398"/>
      <c r="N529" s="398"/>
    </row>
    <row r="530" spans="12:14" x14ac:dyDescent="0.2">
      <c r="L530" s="398"/>
      <c r="M530" s="398"/>
      <c r="N530" s="398"/>
    </row>
    <row r="531" spans="12:14" x14ac:dyDescent="0.2">
      <c r="L531" s="398"/>
      <c r="M531" s="398"/>
      <c r="N531" s="398"/>
    </row>
    <row r="532" spans="12:14" x14ac:dyDescent="0.2">
      <c r="L532" s="398"/>
      <c r="M532" s="398"/>
      <c r="N532" s="398"/>
    </row>
    <row r="533" spans="12:14" x14ac:dyDescent="0.2">
      <c r="L533" s="398"/>
      <c r="M533" s="398"/>
      <c r="N533" s="398"/>
    </row>
    <row r="534" spans="12:14" x14ac:dyDescent="0.2">
      <c r="L534" s="398"/>
      <c r="M534" s="398"/>
      <c r="N534" s="398"/>
    </row>
    <row r="535" spans="12:14" x14ac:dyDescent="0.2">
      <c r="L535" s="398"/>
      <c r="M535" s="398"/>
      <c r="N535" s="398"/>
    </row>
    <row r="536" spans="12:14" x14ac:dyDescent="0.2">
      <c r="L536" s="398"/>
      <c r="M536" s="398"/>
      <c r="N536" s="398"/>
    </row>
    <row r="537" spans="12:14" x14ac:dyDescent="0.2">
      <c r="L537" s="398"/>
      <c r="M537" s="398"/>
      <c r="N537" s="398"/>
    </row>
    <row r="538" spans="12:14" x14ac:dyDescent="0.2">
      <c r="L538" s="398"/>
      <c r="M538" s="398"/>
      <c r="N538" s="398"/>
    </row>
    <row r="539" spans="12:14" x14ac:dyDescent="0.2">
      <c r="L539" s="398"/>
      <c r="M539" s="398"/>
      <c r="N539" s="398"/>
    </row>
    <row r="540" spans="12:14" x14ac:dyDescent="0.2">
      <c r="L540" s="398"/>
      <c r="M540" s="398"/>
      <c r="N540" s="398"/>
    </row>
    <row r="541" spans="12:14" x14ac:dyDescent="0.2">
      <c r="L541" s="398"/>
      <c r="M541" s="398"/>
      <c r="N541" s="398"/>
    </row>
    <row r="542" spans="12:14" x14ac:dyDescent="0.2">
      <c r="L542" s="398"/>
      <c r="M542" s="398"/>
      <c r="N542" s="398"/>
    </row>
    <row r="543" spans="12:14" x14ac:dyDescent="0.2">
      <c r="L543" s="398"/>
      <c r="M543" s="398"/>
      <c r="N543" s="398"/>
    </row>
    <row r="544" spans="12:14" x14ac:dyDescent="0.2">
      <c r="L544" s="398"/>
      <c r="M544" s="398"/>
      <c r="N544" s="398"/>
    </row>
    <row r="545" spans="12:14" x14ac:dyDescent="0.2">
      <c r="L545" s="398"/>
      <c r="M545" s="398"/>
      <c r="N545" s="398"/>
    </row>
    <row r="546" spans="12:14" x14ac:dyDescent="0.2">
      <c r="L546" s="398"/>
      <c r="M546" s="398"/>
      <c r="N546" s="398"/>
    </row>
    <row r="547" spans="12:14" x14ac:dyDescent="0.2">
      <c r="L547" s="398"/>
      <c r="M547" s="398"/>
      <c r="N547" s="398"/>
    </row>
  </sheetData>
  <mergeCells count="9">
    <mergeCell ref="L2:L3"/>
    <mergeCell ref="M2:M3"/>
    <mergeCell ref="N2:N3"/>
    <mergeCell ref="B2:B3"/>
    <mergeCell ref="C2:E2"/>
    <mergeCell ref="I2:I3"/>
    <mergeCell ref="J2:J3"/>
    <mergeCell ref="K2:K3"/>
    <mergeCell ref="F2:H2"/>
  </mergeCells>
  <conditionalFormatting sqref="I6:I460">
    <cfRule type="expression" dxfId="5" priority="14">
      <formula>AND(IFERROR(NOT(SEARCH("DSCAL",B7)),TRUE),(I6=50))</formula>
    </cfRule>
  </conditionalFormatting>
  <conditionalFormatting sqref="J6:J460">
    <cfRule type="expression" dxfId="4" priority="13">
      <formula>AND(IFERROR(NOT(SEARCH("DSCAL",B7)),TRUE),(J6=10))</formula>
    </cfRule>
  </conditionalFormatting>
  <conditionalFormatting sqref="A1:N1 I2:N2 A2:F2 A306 C306:N306 J306:J307 A3:N305 A307:N469">
    <cfRule type="expression" dxfId="3" priority="3">
      <formula>IF($N1="Warning",TRUE, FALSE)</formula>
    </cfRule>
    <cfRule type="expression" dxfId="2" priority="4">
      <formula>IF($N1="Error",TRUE, FALSE)</formula>
    </cfRule>
  </conditionalFormatting>
  <conditionalFormatting sqref="B306">
    <cfRule type="expression" dxfId="1" priority="1">
      <formula>IF($N306="Warning",TRUE, FALSE)</formula>
    </cfRule>
    <cfRule type="expression" dxfId="0" priority="2">
      <formula>IF($N306="Error",TRUE, FALSE)</formula>
    </cfRule>
  </conditionalFormatting>
  <printOptions gridLines="1" gridLinesSet="0"/>
  <pageMargins left="0.75" right="0.75" top="1" bottom="1" header="0.51181102300000003" footer="0.51181102300000003"/>
  <pageSetup orientation="portrait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X431"/>
  <sheetViews>
    <sheetView topLeftCell="A3" workbookViewId="0">
      <pane ySplit="3" topLeftCell="A6" activePane="bottomLeft" state="frozen"/>
      <selection activeCell="A3" sqref="A3"/>
      <selection pane="bottomLeft" activeCell="A6" sqref="A6"/>
    </sheetView>
  </sheetViews>
  <sheetFormatPr defaultColWidth="9.125" defaultRowHeight="15" x14ac:dyDescent="0.2"/>
  <cols>
    <col min="1" max="1" width="9.125" style="1"/>
    <col min="2" max="2" width="17.875" style="1" customWidth="1"/>
    <col min="3" max="3" width="29.375" style="1" bestFit="1" customWidth="1"/>
    <col min="4" max="4" width="22.875" style="1" customWidth="1"/>
    <col min="5" max="10" width="16" style="1" customWidth="1"/>
    <col min="11" max="11" width="16" style="369" customWidth="1"/>
    <col min="12" max="12" width="9.125" style="1"/>
    <col min="13" max="13" width="5.125" style="1" bestFit="1" customWidth="1"/>
    <col min="14" max="15" width="3.875" style="1" bestFit="1" customWidth="1"/>
    <col min="16" max="16" width="2.375" style="1" bestFit="1" customWidth="1"/>
    <col min="17" max="17" width="9.125" style="1"/>
    <col min="18" max="19" width="3.875" style="1" bestFit="1" customWidth="1"/>
    <col min="20" max="20" width="2.375" style="1" bestFit="1" customWidth="1"/>
    <col min="21" max="21" width="9.125" style="1"/>
    <col min="22" max="22" width="2.375" style="1" bestFit="1" customWidth="1"/>
    <col min="23" max="23" width="8.375" style="1" bestFit="1" customWidth="1"/>
    <col min="24" max="16384" width="9.125" style="1"/>
  </cols>
  <sheetData>
    <row r="2" spans="2:24" ht="15.75" thickBot="1" x14ac:dyDescent="0.25"/>
    <row r="3" spans="2:24" ht="21.6" customHeight="1" x14ac:dyDescent="0.2">
      <c r="B3" s="640" t="s">
        <v>7</v>
      </c>
      <c r="C3" s="642" t="s">
        <v>8</v>
      </c>
      <c r="D3" s="643"/>
      <c r="E3" s="643"/>
      <c r="F3" s="643"/>
      <c r="G3" s="643"/>
      <c r="H3" s="643"/>
      <c r="I3" s="643"/>
      <c r="J3" s="644"/>
      <c r="K3" s="647" t="s">
        <v>310</v>
      </c>
    </row>
    <row r="4" spans="2:24" ht="21.6" customHeight="1" thickBot="1" x14ac:dyDescent="0.25">
      <c r="B4" s="641"/>
      <c r="C4" s="439" t="s">
        <v>9</v>
      </c>
      <c r="D4" s="439" t="s">
        <v>10</v>
      </c>
      <c r="E4" s="2" t="s">
        <v>11</v>
      </c>
      <c r="F4" s="645" t="s">
        <v>12</v>
      </c>
      <c r="G4" s="646"/>
      <c r="H4" s="645" t="s">
        <v>13</v>
      </c>
      <c r="I4" s="646"/>
      <c r="J4" s="440" t="s">
        <v>14</v>
      </c>
      <c r="K4" s="648"/>
    </row>
    <row r="5" spans="2:24" ht="15.75" thickBot="1" x14ac:dyDescent="0.25">
      <c r="B5" s="375"/>
      <c r="C5" s="376"/>
      <c r="D5" s="377"/>
      <c r="E5" s="378"/>
      <c r="F5" s="379"/>
      <c r="G5" s="380"/>
      <c r="H5" s="379"/>
      <c r="I5" s="380"/>
      <c r="J5" s="379"/>
      <c r="K5" s="441"/>
    </row>
    <row r="6" spans="2:24" x14ac:dyDescent="0.2">
      <c r="B6" s="381">
        <v>192</v>
      </c>
      <c r="C6" s="382">
        <v>15.67</v>
      </c>
      <c r="D6" s="383" t="s">
        <v>307</v>
      </c>
      <c r="E6" s="383" t="s">
        <v>0</v>
      </c>
      <c r="F6" s="383" t="s">
        <v>1</v>
      </c>
      <c r="G6" s="383"/>
      <c r="H6" s="383" t="s">
        <v>1</v>
      </c>
      <c r="I6" s="383"/>
      <c r="J6" s="383" t="s">
        <v>2</v>
      </c>
      <c r="K6" s="373" t="s">
        <v>311</v>
      </c>
    </row>
    <row r="7" spans="2:24" x14ac:dyDescent="0.2">
      <c r="B7" s="3">
        <v>193</v>
      </c>
      <c r="C7" s="4">
        <v>15.67</v>
      </c>
      <c r="D7" s="4" t="s">
        <v>308</v>
      </c>
      <c r="E7" s="4" t="s">
        <v>0</v>
      </c>
      <c r="F7" s="4" t="s">
        <v>1</v>
      </c>
      <c r="G7" s="4"/>
      <c r="H7" s="4" t="s">
        <v>1</v>
      </c>
      <c r="I7" s="4"/>
      <c r="J7" s="4" t="s">
        <v>2</v>
      </c>
      <c r="K7" s="370" t="s">
        <v>311</v>
      </c>
    </row>
    <row r="8" spans="2:24" x14ac:dyDescent="0.2">
      <c r="B8" s="3">
        <v>194</v>
      </c>
      <c r="C8" s="384">
        <v>2.85</v>
      </c>
      <c r="D8" s="4" t="s">
        <v>307</v>
      </c>
      <c r="E8" s="4" t="s">
        <v>0</v>
      </c>
      <c r="F8" s="4" t="s">
        <v>1</v>
      </c>
      <c r="G8" s="4"/>
      <c r="H8" s="4" t="s">
        <v>1</v>
      </c>
      <c r="I8" s="4"/>
      <c r="J8" s="4" t="s">
        <v>2</v>
      </c>
      <c r="K8" s="370" t="s">
        <v>311</v>
      </c>
    </row>
    <row r="9" spans="2:24" x14ac:dyDescent="0.2">
      <c r="B9" s="3">
        <v>195</v>
      </c>
      <c r="C9" s="384">
        <v>2.85</v>
      </c>
      <c r="D9" s="4" t="s">
        <v>308</v>
      </c>
      <c r="E9" s="4" t="s">
        <v>0</v>
      </c>
      <c r="F9" s="4" t="s">
        <v>1</v>
      </c>
      <c r="G9" s="4"/>
      <c r="H9" s="4" t="s">
        <v>1</v>
      </c>
      <c r="I9" s="4"/>
      <c r="J9" s="4" t="s">
        <v>2</v>
      </c>
      <c r="K9" s="370" t="s">
        <v>311</v>
      </c>
    </row>
    <row r="10" spans="2:24" x14ac:dyDescent="0.2">
      <c r="B10" s="3">
        <v>196</v>
      </c>
      <c r="C10" s="384">
        <v>1</v>
      </c>
      <c r="D10" s="4" t="s">
        <v>307</v>
      </c>
      <c r="E10" s="4" t="s">
        <v>0</v>
      </c>
      <c r="F10" s="4" t="s">
        <v>1</v>
      </c>
      <c r="G10" s="4"/>
      <c r="H10" s="4" t="s">
        <v>1</v>
      </c>
      <c r="I10" s="4"/>
      <c r="J10" s="4" t="s">
        <v>2</v>
      </c>
      <c r="K10" s="370" t="s">
        <v>311</v>
      </c>
    </row>
    <row r="11" spans="2:24" x14ac:dyDescent="0.2">
      <c r="B11" s="3">
        <v>197</v>
      </c>
      <c r="C11" s="384">
        <v>1</v>
      </c>
      <c r="D11" s="4" t="s">
        <v>308</v>
      </c>
      <c r="E11" s="4" t="s">
        <v>0</v>
      </c>
      <c r="F11" s="4" t="s">
        <v>1</v>
      </c>
      <c r="G11" s="4"/>
      <c r="H11" s="4" t="s">
        <v>1</v>
      </c>
      <c r="I11" s="4"/>
      <c r="J11" s="4" t="s">
        <v>2</v>
      </c>
      <c r="K11" s="370" t="s">
        <v>311</v>
      </c>
    </row>
    <row r="12" spans="2:24" x14ac:dyDescent="0.2">
      <c r="B12" s="3">
        <v>198</v>
      </c>
      <c r="C12" s="384">
        <v>0.53</v>
      </c>
      <c r="D12" s="4" t="s">
        <v>307</v>
      </c>
      <c r="E12" s="4" t="s">
        <v>0</v>
      </c>
      <c r="F12" s="4" t="s">
        <v>1</v>
      </c>
      <c r="G12" s="4"/>
      <c r="H12" s="4" t="s">
        <v>1</v>
      </c>
      <c r="I12" s="4"/>
      <c r="J12" s="4" t="s">
        <v>2</v>
      </c>
      <c r="K12" s="370" t="s">
        <v>311</v>
      </c>
    </row>
    <row r="13" spans="2:24" x14ac:dyDescent="0.2">
      <c r="B13" s="3">
        <v>199</v>
      </c>
      <c r="C13" s="384">
        <v>0.53</v>
      </c>
      <c r="D13" s="4" t="s">
        <v>308</v>
      </c>
      <c r="E13" s="4" t="s">
        <v>0</v>
      </c>
      <c r="F13" s="4" t="s">
        <v>1</v>
      </c>
      <c r="G13" s="4"/>
      <c r="H13" s="4" t="s">
        <v>1</v>
      </c>
      <c r="I13" s="4"/>
      <c r="J13" s="4" t="s">
        <v>2</v>
      </c>
      <c r="K13" s="370" t="s">
        <v>311</v>
      </c>
    </row>
    <row r="14" spans="2:24" x14ac:dyDescent="0.2">
      <c r="B14" s="3"/>
      <c r="C14" s="4"/>
      <c r="D14" s="4"/>
      <c r="E14" s="4"/>
      <c r="F14" s="4"/>
      <c r="G14" s="4"/>
      <c r="H14" s="4"/>
      <c r="I14" s="4"/>
      <c r="J14" s="4"/>
      <c r="K14" s="370"/>
    </row>
    <row r="15" spans="2:24" x14ac:dyDescent="0.2">
      <c r="B15" s="3">
        <v>200</v>
      </c>
      <c r="C15" s="4">
        <v>15.67</v>
      </c>
      <c r="D15" s="4" t="s">
        <v>307</v>
      </c>
      <c r="E15" s="4" t="s">
        <v>0</v>
      </c>
      <c r="F15" s="4" t="s">
        <v>0</v>
      </c>
      <c r="G15" s="4" t="s">
        <v>3</v>
      </c>
      <c r="H15" s="4" t="s">
        <v>1</v>
      </c>
      <c r="I15" s="4"/>
      <c r="J15" s="4" t="s">
        <v>2</v>
      </c>
      <c r="K15" s="370" t="s">
        <v>311</v>
      </c>
      <c r="M15" s="1" t="str">
        <f>IF(J15="Closed",B15,"")</f>
        <v/>
      </c>
      <c r="N15" s="1" t="str">
        <f>IF(M15&lt;&gt;"", MOD(M15,25),"")</f>
        <v/>
      </c>
      <c r="R15" s="1">
        <f>MOD(B15,25)</f>
        <v>0</v>
      </c>
      <c r="S15" s="1">
        <f>R15-3</f>
        <v>-3</v>
      </c>
      <c r="T15" s="1">
        <f t="shared" ref="T15" si="0">MOD(S15,6)</f>
        <v>3</v>
      </c>
      <c r="V15" s="1">
        <f>MOD(MOD(B15,25)-3,6)</f>
        <v>3</v>
      </c>
      <c r="W15" s="1" t="str">
        <f>IF(V15&lt;3,"Closed","Open")</f>
        <v>Open</v>
      </c>
      <c r="X15" s="1" t="str">
        <f>IF(W15=J15,"","1")</f>
        <v/>
      </c>
    </row>
    <row r="16" spans="2:24" x14ac:dyDescent="0.2">
      <c r="B16" s="3">
        <v>201</v>
      </c>
      <c r="C16" s="4">
        <v>15.67</v>
      </c>
      <c r="D16" s="4" t="s">
        <v>307</v>
      </c>
      <c r="E16" s="4" t="s">
        <v>0</v>
      </c>
      <c r="F16" s="4" t="s">
        <v>0</v>
      </c>
      <c r="G16" s="4" t="s">
        <v>4</v>
      </c>
      <c r="H16" s="4" t="s">
        <v>1</v>
      </c>
      <c r="I16" s="4"/>
      <c r="J16" s="4" t="s">
        <v>2</v>
      </c>
      <c r="K16" s="370" t="s">
        <v>311</v>
      </c>
      <c r="M16" s="1" t="str">
        <f t="shared" ref="M16:M79" si="1">IF(J16="Closed",B16,"")</f>
        <v/>
      </c>
      <c r="N16" s="1" t="str">
        <f t="shared" ref="N16:N79" si="2">IF(M16&lt;&gt;"", MOD(M16,25),"")</f>
        <v/>
      </c>
      <c r="R16" s="1">
        <f t="shared" ref="R16:R38" si="3">MOD(B16,25)</f>
        <v>1</v>
      </c>
      <c r="S16" s="1">
        <f t="shared" ref="S16:S79" si="4">R16-3</f>
        <v>-2</v>
      </c>
      <c r="T16" s="1">
        <f t="shared" ref="T16" si="5">MOD(S16,6)</f>
        <v>4</v>
      </c>
      <c r="V16" s="1">
        <f t="shared" ref="V16:V79" si="6">MOD(MOD(B16,25)-3,6)</f>
        <v>4</v>
      </c>
      <c r="W16" s="1" t="str">
        <f t="shared" ref="W16:W79" si="7">IF(V16&lt;3,"Closed","Open")</f>
        <v>Open</v>
      </c>
      <c r="X16" s="1" t="str">
        <f t="shared" ref="X16:X79" si="8">IF(W16=J16,"","1")</f>
        <v/>
      </c>
    </row>
    <row r="17" spans="2:24" x14ac:dyDescent="0.2">
      <c r="B17" s="3">
        <v>202</v>
      </c>
      <c r="C17" s="4">
        <v>15.67</v>
      </c>
      <c r="D17" s="4" t="s">
        <v>307</v>
      </c>
      <c r="E17" s="4" t="s">
        <v>0</v>
      </c>
      <c r="F17" s="4" t="s">
        <v>0</v>
      </c>
      <c r="G17" s="4" t="s">
        <v>5</v>
      </c>
      <c r="H17" s="4" t="s">
        <v>1</v>
      </c>
      <c r="I17" s="4"/>
      <c r="J17" s="4" t="s">
        <v>2</v>
      </c>
      <c r="K17" s="370" t="s">
        <v>311</v>
      </c>
      <c r="M17" s="1" t="str">
        <f t="shared" si="1"/>
        <v/>
      </c>
      <c r="N17" s="1" t="str">
        <f t="shared" si="2"/>
        <v/>
      </c>
      <c r="R17" s="1">
        <f t="shared" si="3"/>
        <v>2</v>
      </c>
      <c r="S17" s="1">
        <f t="shared" si="4"/>
        <v>-1</v>
      </c>
      <c r="T17" s="1">
        <f t="shared" ref="T17" si="9">MOD(S17,6)</f>
        <v>5</v>
      </c>
      <c r="V17" s="1">
        <f t="shared" si="6"/>
        <v>5</v>
      </c>
      <c r="W17" s="1" t="str">
        <f t="shared" si="7"/>
        <v>Open</v>
      </c>
      <c r="X17" s="1" t="str">
        <f t="shared" si="8"/>
        <v/>
      </c>
    </row>
    <row r="18" spans="2:24" x14ac:dyDescent="0.2">
      <c r="B18" s="3">
        <v>203</v>
      </c>
      <c r="C18" s="4">
        <v>15.67</v>
      </c>
      <c r="D18" s="4" t="s">
        <v>307</v>
      </c>
      <c r="E18" s="4" t="s">
        <v>0</v>
      </c>
      <c r="F18" s="4" t="s">
        <v>0</v>
      </c>
      <c r="G18" s="4" t="s">
        <v>3</v>
      </c>
      <c r="H18" s="4" t="s">
        <v>1</v>
      </c>
      <c r="I18" s="4"/>
      <c r="J18" s="4" t="s">
        <v>6</v>
      </c>
      <c r="K18" s="370" t="s">
        <v>311</v>
      </c>
      <c r="M18" s="1">
        <f t="shared" si="1"/>
        <v>203</v>
      </c>
      <c r="N18" s="1">
        <f t="shared" si="2"/>
        <v>3</v>
      </c>
      <c r="O18" s="1">
        <f>N18-3</f>
        <v>0</v>
      </c>
      <c r="P18" s="1">
        <f>MOD(O18,6)</f>
        <v>0</v>
      </c>
      <c r="R18" s="1">
        <f t="shared" si="3"/>
        <v>3</v>
      </c>
      <c r="S18" s="1">
        <f t="shared" si="4"/>
        <v>0</v>
      </c>
      <c r="T18" s="1">
        <f t="shared" ref="T18" si="10">MOD(S18,6)</f>
        <v>0</v>
      </c>
      <c r="V18" s="1">
        <f t="shared" si="6"/>
        <v>0</v>
      </c>
      <c r="W18" s="1" t="str">
        <f t="shared" si="7"/>
        <v>Closed</v>
      </c>
      <c r="X18" s="1" t="str">
        <f t="shared" si="8"/>
        <v/>
      </c>
    </row>
    <row r="19" spans="2:24" x14ac:dyDescent="0.2">
      <c r="B19" s="3">
        <v>204</v>
      </c>
      <c r="C19" s="4">
        <v>15.67</v>
      </c>
      <c r="D19" s="4" t="s">
        <v>307</v>
      </c>
      <c r="E19" s="4" t="s">
        <v>0</v>
      </c>
      <c r="F19" s="4" t="s">
        <v>0</v>
      </c>
      <c r="G19" s="4" t="s">
        <v>4</v>
      </c>
      <c r="H19" s="4" t="s">
        <v>1</v>
      </c>
      <c r="I19" s="4"/>
      <c r="J19" s="4" t="s">
        <v>6</v>
      </c>
      <c r="K19" s="370" t="s">
        <v>311</v>
      </c>
      <c r="M19" s="1">
        <f t="shared" si="1"/>
        <v>204</v>
      </c>
      <c r="N19" s="1">
        <f t="shared" si="2"/>
        <v>4</v>
      </c>
      <c r="O19" s="1">
        <f t="shared" ref="O19:O20" si="11">N19-3</f>
        <v>1</v>
      </c>
      <c r="P19" s="1">
        <f t="shared" ref="P19:P20" si="12">MOD(O19,6)</f>
        <v>1</v>
      </c>
      <c r="R19" s="1">
        <f t="shared" si="3"/>
        <v>4</v>
      </c>
      <c r="S19" s="1">
        <f t="shared" si="4"/>
        <v>1</v>
      </c>
      <c r="T19" s="1">
        <f t="shared" ref="T19" si="13">MOD(S19,6)</f>
        <v>1</v>
      </c>
      <c r="V19" s="1">
        <f t="shared" si="6"/>
        <v>1</v>
      </c>
      <c r="W19" s="1" t="str">
        <f t="shared" si="7"/>
        <v>Closed</v>
      </c>
      <c r="X19" s="1" t="str">
        <f t="shared" si="8"/>
        <v/>
      </c>
    </row>
    <row r="20" spans="2:24" x14ac:dyDescent="0.2">
      <c r="B20" s="3">
        <v>205</v>
      </c>
      <c r="C20" s="4">
        <v>15.67</v>
      </c>
      <c r="D20" s="4" t="s">
        <v>307</v>
      </c>
      <c r="E20" s="4" t="s">
        <v>0</v>
      </c>
      <c r="F20" s="4" t="s">
        <v>0</v>
      </c>
      <c r="G20" s="4" t="s">
        <v>5</v>
      </c>
      <c r="H20" s="4" t="s">
        <v>1</v>
      </c>
      <c r="I20" s="4"/>
      <c r="J20" s="4" t="s">
        <v>6</v>
      </c>
      <c r="K20" s="370" t="s">
        <v>311</v>
      </c>
      <c r="M20" s="1">
        <f t="shared" si="1"/>
        <v>205</v>
      </c>
      <c r="N20" s="1">
        <f t="shared" si="2"/>
        <v>5</v>
      </c>
      <c r="O20" s="1">
        <f t="shared" si="11"/>
        <v>2</v>
      </c>
      <c r="P20" s="1">
        <f t="shared" si="12"/>
        <v>2</v>
      </c>
      <c r="R20" s="1">
        <f t="shared" si="3"/>
        <v>5</v>
      </c>
      <c r="S20" s="1">
        <f t="shared" si="4"/>
        <v>2</v>
      </c>
      <c r="T20" s="1">
        <f t="shared" ref="T20" si="14">MOD(S20,6)</f>
        <v>2</v>
      </c>
      <c r="V20" s="1">
        <f t="shared" si="6"/>
        <v>2</v>
      </c>
      <c r="W20" s="1" t="str">
        <f t="shared" si="7"/>
        <v>Closed</v>
      </c>
      <c r="X20" s="1" t="str">
        <f t="shared" si="8"/>
        <v/>
      </c>
    </row>
    <row r="21" spans="2:24" x14ac:dyDescent="0.2">
      <c r="B21" s="3">
        <v>206</v>
      </c>
      <c r="C21" s="4">
        <v>15.67</v>
      </c>
      <c r="D21" s="4" t="s">
        <v>307</v>
      </c>
      <c r="E21" s="4" t="s">
        <v>0</v>
      </c>
      <c r="F21" s="4" t="s">
        <v>0</v>
      </c>
      <c r="G21" s="4" t="s">
        <v>3</v>
      </c>
      <c r="H21" s="4" t="s">
        <v>0</v>
      </c>
      <c r="I21" s="4" t="s">
        <v>3</v>
      </c>
      <c r="J21" s="4" t="s">
        <v>2</v>
      </c>
      <c r="K21" s="370" t="s">
        <v>311</v>
      </c>
      <c r="M21" s="1" t="str">
        <f t="shared" si="1"/>
        <v/>
      </c>
      <c r="N21" s="1" t="str">
        <f t="shared" si="2"/>
        <v/>
      </c>
      <c r="R21" s="1">
        <f t="shared" si="3"/>
        <v>6</v>
      </c>
      <c r="S21" s="1">
        <f t="shared" si="4"/>
        <v>3</v>
      </c>
      <c r="T21" s="1">
        <f t="shared" ref="T21" si="15">MOD(S21,6)</f>
        <v>3</v>
      </c>
      <c r="V21" s="1">
        <f t="shared" si="6"/>
        <v>3</v>
      </c>
      <c r="W21" s="1" t="str">
        <f t="shared" si="7"/>
        <v>Open</v>
      </c>
      <c r="X21" s="1" t="str">
        <f t="shared" si="8"/>
        <v/>
      </c>
    </row>
    <row r="22" spans="2:24" x14ac:dyDescent="0.2">
      <c r="B22" s="3">
        <v>207</v>
      </c>
      <c r="C22" s="4">
        <v>15.67</v>
      </c>
      <c r="D22" s="4" t="s">
        <v>307</v>
      </c>
      <c r="E22" s="4" t="s">
        <v>0</v>
      </c>
      <c r="F22" s="4" t="s">
        <v>0</v>
      </c>
      <c r="G22" s="4" t="s">
        <v>4</v>
      </c>
      <c r="H22" s="4" t="s">
        <v>0</v>
      </c>
      <c r="I22" s="4" t="s">
        <v>4</v>
      </c>
      <c r="J22" s="4" t="s">
        <v>2</v>
      </c>
      <c r="K22" s="370" t="s">
        <v>311</v>
      </c>
      <c r="M22" s="1" t="str">
        <f t="shared" si="1"/>
        <v/>
      </c>
      <c r="N22" s="1" t="str">
        <f t="shared" si="2"/>
        <v/>
      </c>
      <c r="R22" s="1">
        <f t="shared" si="3"/>
        <v>7</v>
      </c>
      <c r="S22" s="1">
        <f t="shared" si="4"/>
        <v>4</v>
      </c>
      <c r="T22" s="1">
        <f t="shared" ref="T22" si="16">MOD(S22,6)</f>
        <v>4</v>
      </c>
      <c r="V22" s="1">
        <f t="shared" si="6"/>
        <v>4</v>
      </c>
      <c r="W22" s="1" t="str">
        <f t="shared" si="7"/>
        <v>Open</v>
      </c>
      <c r="X22" s="1" t="str">
        <f t="shared" si="8"/>
        <v/>
      </c>
    </row>
    <row r="23" spans="2:24" x14ac:dyDescent="0.2">
      <c r="B23" s="3">
        <v>208</v>
      </c>
      <c r="C23" s="4">
        <v>15.67</v>
      </c>
      <c r="D23" s="4" t="s">
        <v>307</v>
      </c>
      <c r="E23" s="4" t="s">
        <v>0</v>
      </c>
      <c r="F23" s="4" t="s">
        <v>0</v>
      </c>
      <c r="G23" s="4" t="s">
        <v>5</v>
      </c>
      <c r="H23" s="4" t="s">
        <v>0</v>
      </c>
      <c r="I23" s="4" t="s">
        <v>5</v>
      </c>
      <c r="J23" s="4" t="s">
        <v>2</v>
      </c>
      <c r="K23" s="370" t="s">
        <v>311</v>
      </c>
      <c r="M23" s="1" t="str">
        <f t="shared" si="1"/>
        <v/>
      </c>
      <c r="N23" s="1" t="str">
        <f t="shared" si="2"/>
        <v/>
      </c>
      <c r="R23" s="1">
        <f t="shared" si="3"/>
        <v>8</v>
      </c>
      <c r="S23" s="1">
        <f t="shared" si="4"/>
        <v>5</v>
      </c>
      <c r="T23" s="1">
        <f t="shared" ref="T23" si="17">MOD(S23,6)</f>
        <v>5</v>
      </c>
      <c r="V23" s="1">
        <f t="shared" si="6"/>
        <v>5</v>
      </c>
      <c r="W23" s="1" t="str">
        <f t="shared" si="7"/>
        <v>Open</v>
      </c>
      <c r="X23" s="1" t="str">
        <f t="shared" si="8"/>
        <v/>
      </c>
    </row>
    <row r="24" spans="2:24" x14ac:dyDescent="0.2">
      <c r="B24" s="3">
        <v>209</v>
      </c>
      <c r="C24" s="4">
        <v>15.67</v>
      </c>
      <c r="D24" s="4" t="s">
        <v>307</v>
      </c>
      <c r="E24" s="4" t="s">
        <v>0</v>
      </c>
      <c r="F24" s="4" t="s">
        <v>0</v>
      </c>
      <c r="G24" s="4" t="s">
        <v>3</v>
      </c>
      <c r="H24" s="4" t="s">
        <v>0</v>
      </c>
      <c r="I24" s="4" t="s">
        <v>3</v>
      </c>
      <c r="J24" s="4" t="s">
        <v>6</v>
      </c>
      <c r="K24" s="370" t="s">
        <v>311</v>
      </c>
      <c r="M24" s="1">
        <f t="shared" si="1"/>
        <v>209</v>
      </c>
      <c r="N24" s="1">
        <f t="shared" si="2"/>
        <v>9</v>
      </c>
      <c r="O24" s="1">
        <f t="shared" ref="O24:O26" si="18">N24-3</f>
        <v>6</v>
      </c>
      <c r="P24" s="1">
        <f t="shared" ref="P24:P26" si="19">MOD(O24,6)</f>
        <v>0</v>
      </c>
      <c r="R24" s="1">
        <f t="shared" si="3"/>
        <v>9</v>
      </c>
      <c r="S24" s="1">
        <f t="shared" si="4"/>
        <v>6</v>
      </c>
      <c r="T24" s="1">
        <f t="shared" ref="T24" si="20">MOD(S24,6)</f>
        <v>0</v>
      </c>
      <c r="V24" s="1">
        <f t="shared" si="6"/>
        <v>0</v>
      </c>
      <c r="W24" s="1" t="str">
        <f t="shared" si="7"/>
        <v>Closed</v>
      </c>
      <c r="X24" s="1" t="str">
        <f t="shared" si="8"/>
        <v/>
      </c>
    </row>
    <row r="25" spans="2:24" x14ac:dyDescent="0.2">
      <c r="B25" s="3">
        <v>210</v>
      </c>
      <c r="C25" s="4">
        <v>15.67</v>
      </c>
      <c r="D25" s="4" t="s">
        <v>307</v>
      </c>
      <c r="E25" s="4" t="s">
        <v>0</v>
      </c>
      <c r="F25" s="4" t="s">
        <v>0</v>
      </c>
      <c r="G25" s="4" t="s">
        <v>4</v>
      </c>
      <c r="H25" s="4" t="s">
        <v>0</v>
      </c>
      <c r="I25" s="4" t="s">
        <v>4</v>
      </c>
      <c r="J25" s="4" t="s">
        <v>6</v>
      </c>
      <c r="K25" s="370" t="s">
        <v>311</v>
      </c>
      <c r="M25" s="1">
        <f t="shared" si="1"/>
        <v>210</v>
      </c>
      <c r="N25" s="1">
        <f t="shared" si="2"/>
        <v>10</v>
      </c>
      <c r="O25" s="1">
        <f t="shared" si="18"/>
        <v>7</v>
      </c>
      <c r="P25" s="1">
        <f t="shared" si="19"/>
        <v>1</v>
      </c>
      <c r="R25" s="1">
        <f t="shared" si="3"/>
        <v>10</v>
      </c>
      <c r="S25" s="1">
        <f t="shared" si="4"/>
        <v>7</v>
      </c>
      <c r="T25" s="1">
        <f t="shared" ref="T25" si="21">MOD(S25,6)</f>
        <v>1</v>
      </c>
      <c r="V25" s="1">
        <f t="shared" si="6"/>
        <v>1</v>
      </c>
      <c r="W25" s="1" t="str">
        <f t="shared" si="7"/>
        <v>Closed</v>
      </c>
      <c r="X25" s="1" t="str">
        <f t="shared" si="8"/>
        <v/>
      </c>
    </row>
    <row r="26" spans="2:24" x14ac:dyDescent="0.2">
      <c r="B26" s="3">
        <v>211</v>
      </c>
      <c r="C26" s="4">
        <v>15.67</v>
      </c>
      <c r="D26" s="4" t="s">
        <v>307</v>
      </c>
      <c r="E26" s="4" t="s">
        <v>0</v>
      </c>
      <c r="F26" s="4" t="s">
        <v>0</v>
      </c>
      <c r="G26" s="4" t="s">
        <v>5</v>
      </c>
      <c r="H26" s="4" t="s">
        <v>0</v>
      </c>
      <c r="I26" s="4" t="s">
        <v>5</v>
      </c>
      <c r="J26" s="4" t="s">
        <v>6</v>
      </c>
      <c r="K26" s="370" t="s">
        <v>311</v>
      </c>
      <c r="M26" s="1">
        <f t="shared" si="1"/>
        <v>211</v>
      </c>
      <c r="N26" s="1">
        <f t="shared" si="2"/>
        <v>11</v>
      </c>
      <c r="O26" s="1">
        <f t="shared" si="18"/>
        <v>8</v>
      </c>
      <c r="P26" s="1">
        <f t="shared" si="19"/>
        <v>2</v>
      </c>
      <c r="R26" s="1">
        <f t="shared" si="3"/>
        <v>11</v>
      </c>
      <c r="S26" s="1">
        <f t="shared" si="4"/>
        <v>8</v>
      </c>
      <c r="T26" s="1">
        <f t="shared" ref="T26" si="22">MOD(S26,6)</f>
        <v>2</v>
      </c>
      <c r="V26" s="1">
        <f t="shared" si="6"/>
        <v>2</v>
      </c>
      <c r="W26" s="1" t="str">
        <f t="shared" si="7"/>
        <v>Closed</v>
      </c>
      <c r="X26" s="1" t="str">
        <f t="shared" si="8"/>
        <v/>
      </c>
    </row>
    <row r="27" spans="2:24" x14ac:dyDescent="0.2">
      <c r="B27" s="3">
        <v>212</v>
      </c>
      <c r="C27" s="4">
        <v>15.67</v>
      </c>
      <c r="D27" s="4" t="s">
        <v>308</v>
      </c>
      <c r="E27" s="4" t="s">
        <v>0</v>
      </c>
      <c r="F27" s="4" t="s">
        <v>0</v>
      </c>
      <c r="G27" s="4" t="s">
        <v>3</v>
      </c>
      <c r="H27" s="4" t="s">
        <v>1</v>
      </c>
      <c r="I27" s="4"/>
      <c r="J27" s="4" t="s">
        <v>2</v>
      </c>
      <c r="K27" s="370" t="s">
        <v>311</v>
      </c>
      <c r="M27" s="1" t="str">
        <f t="shared" si="1"/>
        <v/>
      </c>
      <c r="N27" s="1" t="str">
        <f t="shared" si="2"/>
        <v/>
      </c>
      <c r="R27" s="1">
        <f t="shared" si="3"/>
        <v>12</v>
      </c>
      <c r="S27" s="1">
        <f t="shared" si="4"/>
        <v>9</v>
      </c>
      <c r="T27" s="1">
        <f t="shared" ref="T27" si="23">MOD(S27,6)</f>
        <v>3</v>
      </c>
      <c r="V27" s="1">
        <f t="shared" si="6"/>
        <v>3</v>
      </c>
      <c r="W27" s="1" t="str">
        <f t="shared" si="7"/>
        <v>Open</v>
      </c>
      <c r="X27" s="1" t="str">
        <f t="shared" si="8"/>
        <v/>
      </c>
    </row>
    <row r="28" spans="2:24" x14ac:dyDescent="0.2">
      <c r="B28" s="3">
        <v>213</v>
      </c>
      <c r="C28" s="4">
        <v>15.67</v>
      </c>
      <c r="D28" s="4" t="s">
        <v>308</v>
      </c>
      <c r="E28" s="4" t="s">
        <v>0</v>
      </c>
      <c r="F28" s="4" t="s">
        <v>0</v>
      </c>
      <c r="G28" s="4" t="s">
        <v>4</v>
      </c>
      <c r="H28" s="4" t="s">
        <v>1</v>
      </c>
      <c r="I28" s="4"/>
      <c r="J28" s="4" t="s">
        <v>2</v>
      </c>
      <c r="K28" s="370" t="s">
        <v>311</v>
      </c>
      <c r="M28" s="1" t="str">
        <f t="shared" si="1"/>
        <v/>
      </c>
      <c r="N28" s="1" t="str">
        <f t="shared" si="2"/>
        <v/>
      </c>
      <c r="R28" s="1">
        <f t="shared" si="3"/>
        <v>13</v>
      </c>
      <c r="S28" s="1">
        <f t="shared" si="4"/>
        <v>10</v>
      </c>
      <c r="T28" s="1">
        <f t="shared" ref="T28" si="24">MOD(S28,6)</f>
        <v>4</v>
      </c>
      <c r="V28" s="1">
        <f t="shared" si="6"/>
        <v>4</v>
      </c>
      <c r="W28" s="1" t="str">
        <f t="shared" si="7"/>
        <v>Open</v>
      </c>
      <c r="X28" s="1" t="str">
        <f t="shared" si="8"/>
        <v/>
      </c>
    </row>
    <row r="29" spans="2:24" x14ac:dyDescent="0.2">
      <c r="B29" s="3">
        <v>214</v>
      </c>
      <c r="C29" s="4">
        <v>15.67</v>
      </c>
      <c r="D29" s="4" t="s">
        <v>308</v>
      </c>
      <c r="E29" s="4" t="s">
        <v>0</v>
      </c>
      <c r="F29" s="4" t="s">
        <v>0</v>
      </c>
      <c r="G29" s="4" t="s">
        <v>5</v>
      </c>
      <c r="H29" s="4" t="s">
        <v>1</v>
      </c>
      <c r="I29" s="4"/>
      <c r="J29" s="4" t="s">
        <v>2</v>
      </c>
      <c r="K29" s="370" t="s">
        <v>311</v>
      </c>
      <c r="M29" s="1" t="str">
        <f t="shared" si="1"/>
        <v/>
      </c>
      <c r="N29" s="1" t="str">
        <f t="shared" si="2"/>
        <v/>
      </c>
      <c r="R29" s="1">
        <f t="shared" si="3"/>
        <v>14</v>
      </c>
      <c r="S29" s="1">
        <f t="shared" si="4"/>
        <v>11</v>
      </c>
      <c r="T29" s="1">
        <f t="shared" ref="T29" si="25">MOD(S29,6)</f>
        <v>5</v>
      </c>
      <c r="V29" s="1">
        <f t="shared" si="6"/>
        <v>5</v>
      </c>
      <c r="W29" s="1" t="str">
        <f t="shared" si="7"/>
        <v>Open</v>
      </c>
      <c r="X29" s="1" t="str">
        <f t="shared" si="8"/>
        <v/>
      </c>
    </row>
    <row r="30" spans="2:24" x14ac:dyDescent="0.2">
      <c r="B30" s="3">
        <v>215</v>
      </c>
      <c r="C30" s="4">
        <v>15.67</v>
      </c>
      <c r="D30" s="4" t="s">
        <v>308</v>
      </c>
      <c r="E30" s="4" t="s">
        <v>0</v>
      </c>
      <c r="F30" s="4" t="s">
        <v>0</v>
      </c>
      <c r="G30" s="4" t="s">
        <v>3</v>
      </c>
      <c r="H30" s="4" t="s">
        <v>1</v>
      </c>
      <c r="I30" s="4"/>
      <c r="J30" s="4" t="s">
        <v>6</v>
      </c>
      <c r="K30" s="370" t="s">
        <v>311</v>
      </c>
      <c r="M30" s="1">
        <f t="shared" si="1"/>
        <v>215</v>
      </c>
      <c r="N30" s="1">
        <f t="shared" si="2"/>
        <v>15</v>
      </c>
      <c r="O30" s="1">
        <f t="shared" ref="O30:O32" si="26">N30-3</f>
        <v>12</v>
      </c>
      <c r="P30" s="1">
        <f t="shared" ref="P30:P32" si="27">MOD(O30,6)</f>
        <v>0</v>
      </c>
      <c r="R30" s="1">
        <f t="shared" si="3"/>
        <v>15</v>
      </c>
      <c r="S30" s="1">
        <f t="shared" si="4"/>
        <v>12</v>
      </c>
      <c r="T30" s="1">
        <f t="shared" ref="T30" si="28">MOD(S30,6)</f>
        <v>0</v>
      </c>
      <c r="V30" s="1">
        <f t="shared" si="6"/>
        <v>0</v>
      </c>
      <c r="W30" s="1" t="str">
        <f t="shared" si="7"/>
        <v>Closed</v>
      </c>
      <c r="X30" s="1" t="str">
        <f t="shared" si="8"/>
        <v/>
      </c>
    </row>
    <row r="31" spans="2:24" x14ac:dyDescent="0.2">
      <c r="B31" s="3">
        <v>216</v>
      </c>
      <c r="C31" s="4">
        <v>15.67</v>
      </c>
      <c r="D31" s="4" t="s">
        <v>308</v>
      </c>
      <c r="E31" s="4" t="s">
        <v>0</v>
      </c>
      <c r="F31" s="4" t="s">
        <v>0</v>
      </c>
      <c r="G31" s="4" t="s">
        <v>4</v>
      </c>
      <c r="H31" s="4" t="s">
        <v>1</v>
      </c>
      <c r="I31" s="4"/>
      <c r="J31" s="4" t="s">
        <v>6</v>
      </c>
      <c r="K31" s="370" t="s">
        <v>311</v>
      </c>
      <c r="M31" s="1">
        <f t="shared" si="1"/>
        <v>216</v>
      </c>
      <c r="N31" s="1">
        <f t="shared" si="2"/>
        <v>16</v>
      </c>
      <c r="O31" s="1">
        <f t="shared" si="26"/>
        <v>13</v>
      </c>
      <c r="P31" s="1">
        <f t="shared" si="27"/>
        <v>1</v>
      </c>
      <c r="R31" s="1">
        <f t="shared" si="3"/>
        <v>16</v>
      </c>
      <c r="S31" s="1">
        <f t="shared" si="4"/>
        <v>13</v>
      </c>
      <c r="T31" s="1">
        <f t="shared" ref="T31" si="29">MOD(S31,6)</f>
        <v>1</v>
      </c>
      <c r="V31" s="1">
        <f t="shared" si="6"/>
        <v>1</v>
      </c>
      <c r="W31" s="1" t="str">
        <f t="shared" si="7"/>
        <v>Closed</v>
      </c>
      <c r="X31" s="1" t="str">
        <f t="shared" si="8"/>
        <v/>
      </c>
    </row>
    <row r="32" spans="2:24" x14ac:dyDescent="0.2">
      <c r="B32" s="3">
        <v>217</v>
      </c>
      <c r="C32" s="4">
        <v>15.67</v>
      </c>
      <c r="D32" s="4" t="s">
        <v>308</v>
      </c>
      <c r="E32" s="4" t="s">
        <v>0</v>
      </c>
      <c r="F32" s="4" t="s">
        <v>0</v>
      </c>
      <c r="G32" s="4" t="s">
        <v>5</v>
      </c>
      <c r="H32" s="4" t="s">
        <v>1</v>
      </c>
      <c r="I32" s="4"/>
      <c r="J32" s="4" t="s">
        <v>6</v>
      </c>
      <c r="K32" s="370" t="s">
        <v>311</v>
      </c>
      <c r="M32" s="1">
        <f t="shared" si="1"/>
        <v>217</v>
      </c>
      <c r="N32" s="1">
        <f t="shared" si="2"/>
        <v>17</v>
      </c>
      <c r="O32" s="1">
        <f t="shared" si="26"/>
        <v>14</v>
      </c>
      <c r="P32" s="1">
        <f t="shared" si="27"/>
        <v>2</v>
      </c>
      <c r="R32" s="1">
        <f t="shared" si="3"/>
        <v>17</v>
      </c>
      <c r="S32" s="1">
        <f t="shared" si="4"/>
        <v>14</v>
      </c>
      <c r="T32" s="1">
        <f t="shared" ref="T32" si="30">MOD(S32,6)</f>
        <v>2</v>
      </c>
      <c r="V32" s="1">
        <f t="shared" si="6"/>
        <v>2</v>
      </c>
      <c r="W32" s="1" t="str">
        <f t="shared" si="7"/>
        <v>Closed</v>
      </c>
      <c r="X32" s="1" t="str">
        <f t="shared" si="8"/>
        <v/>
      </c>
    </row>
    <row r="33" spans="2:24" x14ac:dyDescent="0.2">
      <c r="B33" s="3">
        <v>218</v>
      </c>
      <c r="C33" s="4">
        <v>15.67</v>
      </c>
      <c r="D33" s="4" t="s">
        <v>308</v>
      </c>
      <c r="E33" s="4" t="s">
        <v>0</v>
      </c>
      <c r="F33" s="4" t="s">
        <v>0</v>
      </c>
      <c r="G33" s="4" t="s">
        <v>3</v>
      </c>
      <c r="H33" s="4" t="s">
        <v>0</v>
      </c>
      <c r="I33" s="4" t="s">
        <v>3</v>
      </c>
      <c r="J33" s="4" t="s">
        <v>2</v>
      </c>
      <c r="K33" s="370" t="s">
        <v>311</v>
      </c>
      <c r="M33" s="1" t="str">
        <f t="shared" si="1"/>
        <v/>
      </c>
      <c r="N33" s="1" t="str">
        <f t="shared" si="2"/>
        <v/>
      </c>
      <c r="R33" s="1">
        <f t="shared" si="3"/>
        <v>18</v>
      </c>
      <c r="S33" s="1">
        <f t="shared" si="4"/>
        <v>15</v>
      </c>
      <c r="T33" s="1">
        <f t="shared" ref="T33" si="31">MOD(S33,6)</f>
        <v>3</v>
      </c>
      <c r="V33" s="1">
        <f t="shared" si="6"/>
        <v>3</v>
      </c>
      <c r="W33" s="1" t="str">
        <f t="shared" si="7"/>
        <v>Open</v>
      </c>
      <c r="X33" s="1" t="str">
        <f t="shared" si="8"/>
        <v/>
      </c>
    </row>
    <row r="34" spans="2:24" x14ac:dyDescent="0.2">
      <c r="B34" s="3">
        <v>219</v>
      </c>
      <c r="C34" s="4">
        <v>15.67</v>
      </c>
      <c r="D34" s="4" t="s">
        <v>308</v>
      </c>
      <c r="E34" s="4" t="s">
        <v>0</v>
      </c>
      <c r="F34" s="4" t="s">
        <v>0</v>
      </c>
      <c r="G34" s="4" t="s">
        <v>4</v>
      </c>
      <c r="H34" s="4" t="s">
        <v>0</v>
      </c>
      <c r="I34" s="4" t="s">
        <v>4</v>
      </c>
      <c r="J34" s="4" t="s">
        <v>2</v>
      </c>
      <c r="K34" s="370" t="s">
        <v>311</v>
      </c>
      <c r="M34" s="1" t="str">
        <f t="shared" si="1"/>
        <v/>
      </c>
      <c r="N34" s="1" t="str">
        <f t="shared" si="2"/>
        <v/>
      </c>
      <c r="R34" s="1">
        <f t="shared" si="3"/>
        <v>19</v>
      </c>
      <c r="S34" s="1">
        <f t="shared" si="4"/>
        <v>16</v>
      </c>
      <c r="T34" s="1">
        <f t="shared" ref="T34" si="32">MOD(S34,6)</f>
        <v>4</v>
      </c>
      <c r="V34" s="1">
        <f t="shared" si="6"/>
        <v>4</v>
      </c>
      <c r="W34" s="1" t="str">
        <f t="shared" si="7"/>
        <v>Open</v>
      </c>
      <c r="X34" s="1" t="str">
        <f t="shared" si="8"/>
        <v/>
      </c>
    </row>
    <row r="35" spans="2:24" x14ac:dyDescent="0.2">
      <c r="B35" s="3">
        <v>220</v>
      </c>
      <c r="C35" s="4">
        <v>15.67</v>
      </c>
      <c r="D35" s="4" t="s">
        <v>308</v>
      </c>
      <c r="E35" s="4" t="s">
        <v>0</v>
      </c>
      <c r="F35" s="4" t="s">
        <v>0</v>
      </c>
      <c r="G35" s="4" t="s">
        <v>5</v>
      </c>
      <c r="H35" s="4" t="s">
        <v>0</v>
      </c>
      <c r="I35" s="4" t="s">
        <v>5</v>
      </c>
      <c r="J35" s="4" t="s">
        <v>2</v>
      </c>
      <c r="K35" s="370" t="s">
        <v>311</v>
      </c>
      <c r="M35" s="1" t="str">
        <f t="shared" si="1"/>
        <v/>
      </c>
      <c r="N35" s="1" t="str">
        <f t="shared" si="2"/>
        <v/>
      </c>
      <c r="R35" s="1">
        <f t="shared" si="3"/>
        <v>20</v>
      </c>
      <c r="S35" s="1">
        <f t="shared" si="4"/>
        <v>17</v>
      </c>
      <c r="T35" s="1">
        <f t="shared" ref="T35" si="33">MOD(S35,6)</f>
        <v>5</v>
      </c>
      <c r="V35" s="1">
        <f t="shared" si="6"/>
        <v>5</v>
      </c>
      <c r="W35" s="1" t="str">
        <f t="shared" si="7"/>
        <v>Open</v>
      </c>
      <c r="X35" s="1" t="str">
        <f t="shared" si="8"/>
        <v/>
      </c>
    </row>
    <row r="36" spans="2:24" x14ac:dyDescent="0.2">
      <c r="B36" s="3">
        <v>221</v>
      </c>
      <c r="C36" s="4">
        <v>15.67</v>
      </c>
      <c r="D36" s="4" t="s">
        <v>308</v>
      </c>
      <c r="E36" s="4" t="s">
        <v>0</v>
      </c>
      <c r="F36" s="4" t="s">
        <v>0</v>
      </c>
      <c r="G36" s="4" t="s">
        <v>3</v>
      </c>
      <c r="H36" s="4" t="s">
        <v>0</v>
      </c>
      <c r="I36" s="4" t="s">
        <v>3</v>
      </c>
      <c r="J36" s="4" t="s">
        <v>6</v>
      </c>
      <c r="K36" s="370" t="s">
        <v>311</v>
      </c>
      <c r="M36" s="1">
        <f t="shared" si="1"/>
        <v>221</v>
      </c>
      <c r="N36" s="1">
        <f t="shared" si="2"/>
        <v>21</v>
      </c>
      <c r="O36" s="1">
        <f t="shared" ref="O36:O38" si="34">N36-3</f>
        <v>18</v>
      </c>
      <c r="P36" s="1">
        <f t="shared" ref="P36:P38" si="35">MOD(O36,6)</f>
        <v>0</v>
      </c>
      <c r="R36" s="1">
        <f t="shared" si="3"/>
        <v>21</v>
      </c>
      <c r="S36" s="1">
        <f t="shared" si="4"/>
        <v>18</v>
      </c>
      <c r="T36" s="1">
        <f t="shared" ref="T36" si="36">MOD(S36,6)</f>
        <v>0</v>
      </c>
      <c r="V36" s="1">
        <f t="shared" si="6"/>
        <v>0</v>
      </c>
      <c r="W36" s="1" t="str">
        <f t="shared" si="7"/>
        <v>Closed</v>
      </c>
      <c r="X36" s="1" t="str">
        <f t="shared" si="8"/>
        <v/>
      </c>
    </row>
    <row r="37" spans="2:24" x14ac:dyDescent="0.2">
      <c r="B37" s="3">
        <v>222</v>
      </c>
      <c r="C37" s="4">
        <v>15.67</v>
      </c>
      <c r="D37" s="4" t="s">
        <v>308</v>
      </c>
      <c r="E37" s="4" t="s">
        <v>0</v>
      </c>
      <c r="F37" s="4" t="s">
        <v>0</v>
      </c>
      <c r="G37" s="4" t="s">
        <v>4</v>
      </c>
      <c r="H37" s="4" t="s">
        <v>0</v>
      </c>
      <c r="I37" s="4" t="s">
        <v>4</v>
      </c>
      <c r="J37" s="4" t="s">
        <v>6</v>
      </c>
      <c r="K37" s="370" t="s">
        <v>311</v>
      </c>
      <c r="M37" s="1">
        <f t="shared" si="1"/>
        <v>222</v>
      </c>
      <c r="N37" s="1">
        <f t="shared" si="2"/>
        <v>22</v>
      </c>
      <c r="O37" s="1">
        <f t="shared" si="34"/>
        <v>19</v>
      </c>
      <c r="P37" s="1">
        <f t="shared" si="35"/>
        <v>1</v>
      </c>
      <c r="R37" s="1">
        <f t="shared" si="3"/>
        <v>22</v>
      </c>
      <c r="S37" s="1">
        <f t="shared" si="4"/>
        <v>19</v>
      </c>
      <c r="T37" s="1">
        <f t="shared" ref="T37" si="37">MOD(S37,6)</f>
        <v>1</v>
      </c>
      <c r="V37" s="1">
        <f t="shared" si="6"/>
        <v>1</v>
      </c>
      <c r="W37" s="1" t="str">
        <f t="shared" si="7"/>
        <v>Closed</v>
      </c>
      <c r="X37" s="1" t="str">
        <f t="shared" si="8"/>
        <v/>
      </c>
    </row>
    <row r="38" spans="2:24" x14ac:dyDescent="0.2">
      <c r="B38" s="3">
        <v>223</v>
      </c>
      <c r="C38" s="4">
        <v>15.67</v>
      </c>
      <c r="D38" s="4" t="s">
        <v>308</v>
      </c>
      <c r="E38" s="4" t="s">
        <v>0</v>
      </c>
      <c r="F38" s="4" t="s">
        <v>0</v>
      </c>
      <c r="G38" s="4" t="s">
        <v>5</v>
      </c>
      <c r="H38" s="4" t="s">
        <v>0</v>
      </c>
      <c r="I38" s="4" t="s">
        <v>5</v>
      </c>
      <c r="J38" s="4" t="s">
        <v>6</v>
      </c>
      <c r="K38" s="370" t="s">
        <v>311</v>
      </c>
      <c r="M38" s="1">
        <f t="shared" si="1"/>
        <v>223</v>
      </c>
      <c r="N38" s="1">
        <f t="shared" si="2"/>
        <v>23</v>
      </c>
      <c r="O38" s="1">
        <f t="shared" si="34"/>
        <v>20</v>
      </c>
      <c r="P38" s="1">
        <f t="shared" si="35"/>
        <v>2</v>
      </c>
      <c r="R38" s="1">
        <f t="shared" si="3"/>
        <v>23</v>
      </c>
      <c r="S38" s="1">
        <f t="shared" si="4"/>
        <v>20</v>
      </c>
      <c r="T38" s="1">
        <f t="shared" ref="T38:T101" si="38">MOD(S38,6)</f>
        <v>2</v>
      </c>
      <c r="V38" s="1">
        <f t="shared" si="6"/>
        <v>2</v>
      </c>
      <c r="W38" s="1" t="str">
        <f t="shared" si="7"/>
        <v>Closed</v>
      </c>
      <c r="X38" s="1" t="str">
        <f t="shared" si="8"/>
        <v/>
      </c>
    </row>
    <row r="39" spans="2:24" x14ac:dyDescent="0.2">
      <c r="B39" s="3"/>
      <c r="C39" s="4"/>
      <c r="D39" s="4"/>
      <c r="E39" s="4"/>
      <c r="F39" s="4"/>
      <c r="G39" s="4"/>
      <c r="H39" s="4"/>
      <c r="I39" s="4"/>
      <c r="J39" s="4"/>
      <c r="K39" s="370"/>
      <c r="M39" s="1" t="str">
        <f t="shared" si="1"/>
        <v/>
      </c>
      <c r="N39" s="1" t="str">
        <f t="shared" si="2"/>
        <v/>
      </c>
    </row>
    <row r="40" spans="2:24" x14ac:dyDescent="0.2">
      <c r="B40" s="3">
        <v>225</v>
      </c>
      <c r="C40" s="384">
        <v>2.85</v>
      </c>
      <c r="D40" s="4" t="s">
        <v>307</v>
      </c>
      <c r="E40" s="4" t="s">
        <v>0</v>
      </c>
      <c r="F40" s="4" t="s">
        <v>0</v>
      </c>
      <c r="G40" s="4" t="s">
        <v>3</v>
      </c>
      <c r="H40" s="4" t="s">
        <v>1</v>
      </c>
      <c r="I40" s="4"/>
      <c r="J40" s="4" t="s">
        <v>2</v>
      </c>
      <c r="K40" s="370" t="s">
        <v>311</v>
      </c>
      <c r="M40" s="1" t="str">
        <f t="shared" si="1"/>
        <v/>
      </c>
      <c r="N40" s="1" t="str">
        <f t="shared" si="2"/>
        <v/>
      </c>
      <c r="R40" s="1">
        <f t="shared" ref="R40:R103" si="39">MOD(B40,25)</f>
        <v>0</v>
      </c>
      <c r="S40" s="1">
        <f t="shared" si="4"/>
        <v>-3</v>
      </c>
      <c r="T40" s="1">
        <f t="shared" si="38"/>
        <v>3</v>
      </c>
      <c r="V40" s="1">
        <f t="shared" si="6"/>
        <v>3</v>
      </c>
      <c r="W40" s="1" t="str">
        <f t="shared" si="7"/>
        <v>Open</v>
      </c>
      <c r="X40" s="1" t="str">
        <f t="shared" si="8"/>
        <v/>
      </c>
    </row>
    <row r="41" spans="2:24" x14ac:dyDescent="0.2">
      <c r="B41" s="3">
        <v>226</v>
      </c>
      <c r="C41" s="384">
        <v>2.85</v>
      </c>
      <c r="D41" s="4" t="s">
        <v>307</v>
      </c>
      <c r="E41" s="4" t="s">
        <v>0</v>
      </c>
      <c r="F41" s="4" t="s">
        <v>0</v>
      </c>
      <c r="G41" s="4" t="s">
        <v>4</v>
      </c>
      <c r="H41" s="4" t="s">
        <v>1</v>
      </c>
      <c r="I41" s="4"/>
      <c r="J41" s="4" t="s">
        <v>2</v>
      </c>
      <c r="K41" s="370" t="s">
        <v>311</v>
      </c>
      <c r="M41" s="1" t="str">
        <f t="shared" si="1"/>
        <v/>
      </c>
      <c r="N41" s="1" t="str">
        <f t="shared" si="2"/>
        <v/>
      </c>
      <c r="R41" s="1">
        <f t="shared" si="39"/>
        <v>1</v>
      </c>
      <c r="S41" s="1">
        <f t="shared" si="4"/>
        <v>-2</v>
      </c>
      <c r="T41" s="1">
        <f t="shared" si="38"/>
        <v>4</v>
      </c>
      <c r="V41" s="1">
        <f t="shared" si="6"/>
        <v>4</v>
      </c>
      <c r="W41" s="1" t="str">
        <f t="shared" si="7"/>
        <v>Open</v>
      </c>
      <c r="X41" s="1" t="str">
        <f t="shared" si="8"/>
        <v/>
      </c>
    </row>
    <row r="42" spans="2:24" x14ac:dyDescent="0.2">
      <c r="B42" s="3">
        <v>227</v>
      </c>
      <c r="C42" s="384">
        <v>2.85</v>
      </c>
      <c r="D42" s="4" t="s">
        <v>307</v>
      </c>
      <c r="E42" s="4" t="s">
        <v>0</v>
      </c>
      <c r="F42" s="4" t="s">
        <v>0</v>
      </c>
      <c r="G42" s="4" t="s">
        <v>5</v>
      </c>
      <c r="H42" s="4" t="s">
        <v>1</v>
      </c>
      <c r="I42" s="4"/>
      <c r="J42" s="4" t="s">
        <v>2</v>
      </c>
      <c r="K42" s="370" t="s">
        <v>311</v>
      </c>
      <c r="M42" s="1" t="str">
        <f t="shared" si="1"/>
        <v/>
      </c>
      <c r="N42" s="1" t="str">
        <f t="shared" si="2"/>
        <v/>
      </c>
      <c r="R42" s="1">
        <f t="shared" si="39"/>
        <v>2</v>
      </c>
      <c r="S42" s="1">
        <f t="shared" si="4"/>
        <v>-1</v>
      </c>
      <c r="T42" s="1">
        <f t="shared" si="38"/>
        <v>5</v>
      </c>
      <c r="V42" s="1">
        <f t="shared" si="6"/>
        <v>5</v>
      </c>
      <c r="W42" s="1" t="str">
        <f t="shared" si="7"/>
        <v>Open</v>
      </c>
      <c r="X42" s="1" t="str">
        <f t="shared" si="8"/>
        <v/>
      </c>
    </row>
    <row r="43" spans="2:24" x14ac:dyDescent="0.2">
      <c r="B43" s="3">
        <v>228</v>
      </c>
      <c r="C43" s="384">
        <v>2.85</v>
      </c>
      <c r="D43" s="4" t="s">
        <v>307</v>
      </c>
      <c r="E43" s="4" t="s">
        <v>0</v>
      </c>
      <c r="F43" s="4" t="s">
        <v>0</v>
      </c>
      <c r="G43" s="4" t="s">
        <v>3</v>
      </c>
      <c r="H43" s="4" t="s">
        <v>1</v>
      </c>
      <c r="I43" s="4"/>
      <c r="J43" s="4" t="s">
        <v>6</v>
      </c>
      <c r="K43" s="370" t="s">
        <v>311</v>
      </c>
      <c r="M43" s="1">
        <f t="shared" si="1"/>
        <v>228</v>
      </c>
      <c r="N43" s="1">
        <f t="shared" si="2"/>
        <v>3</v>
      </c>
      <c r="R43" s="1">
        <f t="shared" si="39"/>
        <v>3</v>
      </c>
      <c r="S43" s="1">
        <f t="shared" si="4"/>
        <v>0</v>
      </c>
      <c r="T43" s="1">
        <f t="shared" si="38"/>
        <v>0</v>
      </c>
      <c r="V43" s="1">
        <f t="shared" si="6"/>
        <v>0</v>
      </c>
      <c r="W43" s="1" t="str">
        <f t="shared" si="7"/>
        <v>Closed</v>
      </c>
      <c r="X43" s="1" t="str">
        <f t="shared" si="8"/>
        <v/>
      </c>
    </row>
    <row r="44" spans="2:24" x14ac:dyDescent="0.2">
      <c r="B44" s="3">
        <v>229</v>
      </c>
      <c r="C44" s="384">
        <v>2.85</v>
      </c>
      <c r="D44" s="4" t="s">
        <v>307</v>
      </c>
      <c r="E44" s="4" t="s">
        <v>0</v>
      </c>
      <c r="F44" s="4" t="s">
        <v>0</v>
      </c>
      <c r="G44" s="4" t="s">
        <v>4</v>
      </c>
      <c r="H44" s="4" t="s">
        <v>1</v>
      </c>
      <c r="I44" s="4"/>
      <c r="J44" s="4" t="s">
        <v>6</v>
      </c>
      <c r="K44" s="370" t="s">
        <v>311</v>
      </c>
      <c r="M44" s="1">
        <f t="shared" si="1"/>
        <v>229</v>
      </c>
      <c r="N44" s="1">
        <f t="shared" si="2"/>
        <v>4</v>
      </c>
      <c r="R44" s="1">
        <f t="shared" si="39"/>
        <v>4</v>
      </c>
      <c r="S44" s="1">
        <f t="shared" si="4"/>
        <v>1</v>
      </c>
      <c r="T44" s="1">
        <f t="shared" si="38"/>
        <v>1</v>
      </c>
      <c r="V44" s="1">
        <f t="shared" si="6"/>
        <v>1</v>
      </c>
      <c r="W44" s="1" t="str">
        <f t="shared" si="7"/>
        <v>Closed</v>
      </c>
      <c r="X44" s="1" t="str">
        <f t="shared" si="8"/>
        <v/>
      </c>
    </row>
    <row r="45" spans="2:24" x14ac:dyDescent="0.2">
      <c r="B45" s="3">
        <v>230</v>
      </c>
      <c r="C45" s="384">
        <v>2.85</v>
      </c>
      <c r="D45" s="4" t="s">
        <v>307</v>
      </c>
      <c r="E45" s="4" t="s">
        <v>0</v>
      </c>
      <c r="F45" s="4" t="s">
        <v>0</v>
      </c>
      <c r="G45" s="4" t="s">
        <v>5</v>
      </c>
      <c r="H45" s="4" t="s">
        <v>1</v>
      </c>
      <c r="I45" s="4"/>
      <c r="J45" s="4" t="s">
        <v>6</v>
      </c>
      <c r="K45" s="370" t="s">
        <v>311</v>
      </c>
      <c r="M45" s="1">
        <f t="shared" si="1"/>
        <v>230</v>
      </c>
      <c r="N45" s="1">
        <f t="shared" si="2"/>
        <v>5</v>
      </c>
      <c r="R45" s="1">
        <f t="shared" si="39"/>
        <v>5</v>
      </c>
      <c r="S45" s="1">
        <f t="shared" si="4"/>
        <v>2</v>
      </c>
      <c r="T45" s="1">
        <f t="shared" si="38"/>
        <v>2</v>
      </c>
      <c r="V45" s="1">
        <f t="shared" si="6"/>
        <v>2</v>
      </c>
      <c r="W45" s="1" t="str">
        <f t="shared" si="7"/>
        <v>Closed</v>
      </c>
      <c r="X45" s="1" t="str">
        <f t="shared" si="8"/>
        <v/>
      </c>
    </row>
    <row r="46" spans="2:24" x14ac:dyDescent="0.2">
      <c r="B46" s="3">
        <v>231</v>
      </c>
      <c r="C46" s="384">
        <v>2.85</v>
      </c>
      <c r="D46" s="4" t="s">
        <v>307</v>
      </c>
      <c r="E46" s="4" t="s">
        <v>0</v>
      </c>
      <c r="F46" s="4" t="s">
        <v>0</v>
      </c>
      <c r="G46" s="4" t="s">
        <v>3</v>
      </c>
      <c r="H46" s="4" t="s">
        <v>0</v>
      </c>
      <c r="I46" s="4" t="s">
        <v>3</v>
      </c>
      <c r="J46" s="4" t="s">
        <v>2</v>
      </c>
      <c r="K46" s="370" t="s">
        <v>311</v>
      </c>
      <c r="M46" s="1" t="str">
        <f t="shared" si="1"/>
        <v/>
      </c>
      <c r="N46" s="1" t="str">
        <f t="shared" si="2"/>
        <v/>
      </c>
      <c r="R46" s="1">
        <f t="shared" si="39"/>
        <v>6</v>
      </c>
      <c r="S46" s="1">
        <f t="shared" si="4"/>
        <v>3</v>
      </c>
      <c r="T46" s="1">
        <f t="shared" si="38"/>
        <v>3</v>
      </c>
      <c r="V46" s="1">
        <f t="shared" si="6"/>
        <v>3</v>
      </c>
      <c r="W46" s="1" t="str">
        <f t="shared" si="7"/>
        <v>Open</v>
      </c>
      <c r="X46" s="1" t="str">
        <f t="shared" si="8"/>
        <v/>
      </c>
    </row>
    <row r="47" spans="2:24" x14ac:dyDescent="0.2">
      <c r="B47" s="3">
        <v>232</v>
      </c>
      <c r="C47" s="384">
        <v>2.85</v>
      </c>
      <c r="D47" s="4" t="s">
        <v>307</v>
      </c>
      <c r="E47" s="4" t="s">
        <v>0</v>
      </c>
      <c r="F47" s="4" t="s">
        <v>0</v>
      </c>
      <c r="G47" s="4" t="s">
        <v>4</v>
      </c>
      <c r="H47" s="4" t="s">
        <v>0</v>
      </c>
      <c r="I47" s="4" t="s">
        <v>4</v>
      </c>
      <c r="J47" s="4" t="s">
        <v>2</v>
      </c>
      <c r="K47" s="370" t="s">
        <v>311</v>
      </c>
      <c r="M47" s="1" t="str">
        <f t="shared" si="1"/>
        <v/>
      </c>
      <c r="N47" s="1" t="str">
        <f t="shared" si="2"/>
        <v/>
      </c>
      <c r="R47" s="1">
        <f t="shared" si="39"/>
        <v>7</v>
      </c>
      <c r="S47" s="1">
        <f t="shared" si="4"/>
        <v>4</v>
      </c>
      <c r="T47" s="1">
        <f t="shared" si="38"/>
        <v>4</v>
      </c>
      <c r="V47" s="1">
        <f t="shared" si="6"/>
        <v>4</v>
      </c>
      <c r="W47" s="1" t="str">
        <f t="shared" si="7"/>
        <v>Open</v>
      </c>
      <c r="X47" s="1" t="str">
        <f t="shared" si="8"/>
        <v/>
      </c>
    </row>
    <row r="48" spans="2:24" x14ac:dyDescent="0.2">
      <c r="B48" s="3">
        <v>233</v>
      </c>
      <c r="C48" s="384">
        <v>2.85</v>
      </c>
      <c r="D48" s="4" t="s">
        <v>307</v>
      </c>
      <c r="E48" s="4" t="s">
        <v>0</v>
      </c>
      <c r="F48" s="4" t="s">
        <v>0</v>
      </c>
      <c r="G48" s="4" t="s">
        <v>5</v>
      </c>
      <c r="H48" s="4" t="s">
        <v>0</v>
      </c>
      <c r="I48" s="4" t="s">
        <v>5</v>
      </c>
      <c r="J48" s="4" t="s">
        <v>2</v>
      </c>
      <c r="K48" s="370" t="s">
        <v>311</v>
      </c>
      <c r="M48" s="1" t="str">
        <f t="shared" si="1"/>
        <v/>
      </c>
      <c r="N48" s="1" t="str">
        <f t="shared" si="2"/>
        <v/>
      </c>
      <c r="R48" s="1">
        <f t="shared" si="39"/>
        <v>8</v>
      </c>
      <c r="S48" s="1">
        <f t="shared" si="4"/>
        <v>5</v>
      </c>
      <c r="T48" s="1">
        <f t="shared" si="38"/>
        <v>5</v>
      </c>
      <c r="V48" s="1">
        <f t="shared" si="6"/>
        <v>5</v>
      </c>
      <c r="W48" s="1" t="str">
        <f t="shared" si="7"/>
        <v>Open</v>
      </c>
      <c r="X48" s="1" t="str">
        <f t="shared" si="8"/>
        <v/>
      </c>
    </row>
    <row r="49" spans="2:24" x14ac:dyDescent="0.2">
      <c r="B49" s="3">
        <v>234</v>
      </c>
      <c r="C49" s="384">
        <v>2.85</v>
      </c>
      <c r="D49" s="4" t="s">
        <v>307</v>
      </c>
      <c r="E49" s="4" t="s">
        <v>0</v>
      </c>
      <c r="F49" s="4" t="s">
        <v>0</v>
      </c>
      <c r="G49" s="4" t="s">
        <v>3</v>
      </c>
      <c r="H49" s="4" t="s">
        <v>0</v>
      </c>
      <c r="I49" s="4" t="s">
        <v>3</v>
      </c>
      <c r="J49" s="4" t="s">
        <v>6</v>
      </c>
      <c r="K49" s="370" t="s">
        <v>311</v>
      </c>
      <c r="M49" s="1">
        <f t="shared" si="1"/>
        <v>234</v>
      </c>
      <c r="N49" s="1">
        <f t="shared" si="2"/>
        <v>9</v>
      </c>
      <c r="R49" s="1">
        <f t="shared" si="39"/>
        <v>9</v>
      </c>
      <c r="S49" s="1">
        <f t="shared" si="4"/>
        <v>6</v>
      </c>
      <c r="T49" s="1">
        <f t="shared" si="38"/>
        <v>0</v>
      </c>
      <c r="V49" s="1">
        <f t="shared" si="6"/>
        <v>0</v>
      </c>
      <c r="W49" s="1" t="str">
        <f t="shared" si="7"/>
        <v>Closed</v>
      </c>
      <c r="X49" s="1" t="str">
        <f t="shared" si="8"/>
        <v/>
      </c>
    </row>
    <row r="50" spans="2:24" x14ac:dyDescent="0.2">
      <c r="B50" s="3">
        <v>235</v>
      </c>
      <c r="C50" s="384">
        <v>2.85</v>
      </c>
      <c r="D50" s="4" t="s">
        <v>307</v>
      </c>
      <c r="E50" s="4" t="s">
        <v>0</v>
      </c>
      <c r="F50" s="4" t="s">
        <v>0</v>
      </c>
      <c r="G50" s="4" t="s">
        <v>4</v>
      </c>
      <c r="H50" s="4" t="s">
        <v>0</v>
      </c>
      <c r="I50" s="4" t="s">
        <v>4</v>
      </c>
      <c r="J50" s="4" t="s">
        <v>6</v>
      </c>
      <c r="K50" s="370" t="s">
        <v>311</v>
      </c>
      <c r="M50" s="1">
        <f t="shared" si="1"/>
        <v>235</v>
      </c>
      <c r="N50" s="1">
        <f t="shared" si="2"/>
        <v>10</v>
      </c>
      <c r="R50" s="1">
        <f t="shared" si="39"/>
        <v>10</v>
      </c>
      <c r="S50" s="1">
        <f t="shared" si="4"/>
        <v>7</v>
      </c>
      <c r="T50" s="1">
        <f t="shared" si="38"/>
        <v>1</v>
      </c>
      <c r="V50" s="1">
        <f t="shared" si="6"/>
        <v>1</v>
      </c>
      <c r="W50" s="1" t="str">
        <f t="shared" si="7"/>
        <v>Closed</v>
      </c>
      <c r="X50" s="1" t="str">
        <f t="shared" si="8"/>
        <v/>
      </c>
    </row>
    <row r="51" spans="2:24" x14ac:dyDescent="0.2">
      <c r="B51" s="3">
        <v>236</v>
      </c>
      <c r="C51" s="384">
        <v>2.85</v>
      </c>
      <c r="D51" s="4" t="s">
        <v>307</v>
      </c>
      <c r="E51" s="4" t="s">
        <v>0</v>
      </c>
      <c r="F51" s="4" t="s">
        <v>0</v>
      </c>
      <c r="G51" s="4" t="s">
        <v>5</v>
      </c>
      <c r="H51" s="4" t="s">
        <v>0</v>
      </c>
      <c r="I51" s="4" t="s">
        <v>5</v>
      </c>
      <c r="J51" s="4" t="s">
        <v>6</v>
      </c>
      <c r="K51" s="370" t="s">
        <v>311</v>
      </c>
      <c r="M51" s="1">
        <f t="shared" si="1"/>
        <v>236</v>
      </c>
      <c r="N51" s="1">
        <f t="shared" si="2"/>
        <v>11</v>
      </c>
      <c r="R51" s="1">
        <f t="shared" si="39"/>
        <v>11</v>
      </c>
      <c r="S51" s="1">
        <f t="shared" si="4"/>
        <v>8</v>
      </c>
      <c r="T51" s="1">
        <f t="shared" si="38"/>
        <v>2</v>
      </c>
      <c r="V51" s="1">
        <f t="shared" si="6"/>
        <v>2</v>
      </c>
      <c r="W51" s="1" t="str">
        <f t="shared" si="7"/>
        <v>Closed</v>
      </c>
      <c r="X51" s="1" t="str">
        <f t="shared" si="8"/>
        <v/>
      </c>
    </row>
    <row r="52" spans="2:24" x14ac:dyDescent="0.2">
      <c r="B52" s="3">
        <v>237</v>
      </c>
      <c r="C52" s="384">
        <v>2.85</v>
      </c>
      <c r="D52" s="4" t="s">
        <v>308</v>
      </c>
      <c r="E52" s="4" t="s">
        <v>0</v>
      </c>
      <c r="F52" s="4" t="s">
        <v>0</v>
      </c>
      <c r="G52" s="4" t="s">
        <v>3</v>
      </c>
      <c r="H52" s="4" t="s">
        <v>1</v>
      </c>
      <c r="I52" s="4"/>
      <c r="J52" s="4" t="s">
        <v>2</v>
      </c>
      <c r="K52" s="370" t="s">
        <v>311</v>
      </c>
      <c r="M52" s="1" t="str">
        <f t="shared" si="1"/>
        <v/>
      </c>
      <c r="N52" s="1" t="str">
        <f t="shared" si="2"/>
        <v/>
      </c>
      <c r="R52" s="1">
        <f t="shared" si="39"/>
        <v>12</v>
      </c>
      <c r="S52" s="1">
        <f t="shared" si="4"/>
        <v>9</v>
      </c>
      <c r="T52" s="1">
        <f t="shared" si="38"/>
        <v>3</v>
      </c>
      <c r="V52" s="1">
        <f t="shared" si="6"/>
        <v>3</v>
      </c>
      <c r="W52" s="1" t="str">
        <f t="shared" si="7"/>
        <v>Open</v>
      </c>
      <c r="X52" s="1" t="str">
        <f t="shared" si="8"/>
        <v/>
      </c>
    </row>
    <row r="53" spans="2:24" x14ac:dyDescent="0.2">
      <c r="B53" s="3">
        <v>238</v>
      </c>
      <c r="C53" s="384">
        <v>2.85</v>
      </c>
      <c r="D53" s="4" t="s">
        <v>308</v>
      </c>
      <c r="E53" s="4" t="s">
        <v>0</v>
      </c>
      <c r="F53" s="4" t="s">
        <v>0</v>
      </c>
      <c r="G53" s="4" t="s">
        <v>4</v>
      </c>
      <c r="H53" s="4" t="s">
        <v>1</v>
      </c>
      <c r="I53" s="4"/>
      <c r="J53" s="4" t="s">
        <v>2</v>
      </c>
      <c r="K53" s="370" t="s">
        <v>311</v>
      </c>
      <c r="M53" s="1" t="str">
        <f t="shared" si="1"/>
        <v/>
      </c>
      <c r="N53" s="1" t="str">
        <f t="shared" si="2"/>
        <v/>
      </c>
      <c r="R53" s="1">
        <f t="shared" si="39"/>
        <v>13</v>
      </c>
      <c r="S53" s="1">
        <f t="shared" si="4"/>
        <v>10</v>
      </c>
      <c r="T53" s="1">
        <f t="shared" si="38"/>
        <v>4</v>
      </c>
      <c r="V53" s="1">
        <f t="shared" si="6"/>
        <v>4</v>
      </c>
      <c r="W53" s="1" t="str">
        <f t="shared" si="7"/>
        <v>Open</v>
      </c>
      <c r="X53" s="1" t="str">
        <f t="shared" si="8"/>
        <v/>
      </c>
    </row>
    <row r="54" spans="2:24" x14ac:dyDescent="0.2">
      <c r="B54" s="3">
        <v>239</v>
      </c>
      <c r="C54" s="384">
        <v>2.85</v>
      </c>
      <c r="D54" s="4" t="s">
        <v>308</v>
      </c>
      <c r="E54" s="4" t="s">
        <v>0</v>
      </c>
      <c r="F54" s="4" t="s">
        <v>0</v>
      </c>
      <c r="G54" s="4" t="s">
        <v>5</v>
      </c>
      <c r="H54" s="4" t="s">
        <v>1</v>
      </c>
      <c r="I54" s="4"/>
      <c r="J54" s="4" t="s">
        <v>2</v>
      </c>
      <c r="K54" s="370" t="s">
        <v>311</v>
      </c>
      <c r="M54" s="1" t="str">
        <f t="shared" si="1"/>
        <v/>
      </c>
      <c r="N54" s="1" t="str">
        <f t="shared" si="2"/>
        <v/>
      </c>
      <c r="R54" s="1">
        <f t="shared" si="39"/>
        <v>14</v>
      </c>
      <c r="S54" s="1">
        <f t="shared" si="4"/>
        <v>11</v>
      </c>
      <c r="T54" s="1">
        <f t="shared" si="38"/>
        <v>5</v>
      </c>
      <c r="V54" s="1">
        <f t="shared" si="6"/>
        <v>5</v>
      </c>
      <c r="W54" s="1" t="str">
        <f t="shared" si="7"/>
        <v>Open</v>
      </c>
      <c r="X54" s="1" t="str">
        <f t="shared" si="8"/>
        <v/>
      </c>
    </row>
    <row r="55" spans="2:24" x14ac:dyDescent="0.2">
      <c r="B55" s="3">
        <v>240</v>
      </c>
      <c r="C55" s="384">
        <v>2.85</v>
      </c>
      <c r="D55" s="4" t="s">
        <v>308</v>
      </c>
      <c r="E55" s="4" t="s">
        <v>0</v>
      </c>
      <c r="F55" s="4" t="s">
        <v>0</v>
      </c>
      <c r="G55" s="4" t="s">
        <v>3</v>
      </c>
      <c r="H55" s="4" t="s">
        <v>1</v>
      </c>
      <c r="I55" s="4"/>
      <c r="J55" s="4" t="s">
        <v>6</v>
      </c>
      <c r="K55" s="370" t="s">
        <v>311</v>
      </c>
      <c r="M55" s="1">
        <f t="shared" si="1"/>
        <v>240</v>
      </c>
      <c r="N55" s="1">
        <f t="shared" si="2"/>
        <v>15</v>
      </c>
      <c r="R55" s="1">
        <f t="shared" si="39"/>
        <v>15</v>
      </c>
      <c r="S55" s="1">
        <f t="shared" si="4"/>
        <v>12</v>
      </c>
      <c r="T55" s="1">
        <f t="shared" si="38"/>
        <v>0</v>
      </c>
      <c r="V55" s="1">
        <f t="shared" si="6"/>
        <v>0</v>
      </c>
      <c r="W55" s="1" t="str">
        <f t="shared" si="7"/>
        <v>Closed</v>
      </c>
      <c r="X55" s="1" t="str">
        <f t="shared" si="8"/>
        <v/>
      </c>
    </row>
    <row r="56" spans="2:24" x14ac:dyDescent="0.2">
      <c r="B56" s="3">
        <v>241</v>
      </c>
      <c r="C56" s="384">
        <v>2.85</v>
      </c>
      <c r="D56" s="4" t="s">
        <v>308</v>
      </c>
      <c r="E56" s="4" t="s">
        <v>0</v>
      </c>
      <c r="F56" s="4" t="s">
        <v>0</v>
      </c>
      <c r="G56" s="4" t="s">
        <v>4</v>
      </c>
      <c r="H56" s="4" t="s">
        <v>1</v>
      </c>
      <c r="I56" s="4"/>
      <c r="J56" s="4" t="s">
        <v>6</v>
      </c>
      <c r="K56" s="370" t="s">
        <v>311</v>
      </c>
      <c r="M56" s="1">
        <f t="shared" si="1"/>
        <v>241</v>
      </c>
      <c r="N56" s="1">
        <f t="shared" si="2"/>
        <v>16</v>
      </c>
      <c r="R56" s="1">
        <f t="shared" si="39"/>
        <v>16</v>
      </c>
      <c r="S56" s="1">
        <f t="shared" si="4"/>
        <v>13</v>
      </c>
      <c r="T56" s="1">
        <f t="shared" si="38"/>
        <v>1</v>
      </c>
      <c r="V56" s="1">
        <f t="shared" si="6"/>
        <v>1</v>
      </c>
      <c r="W56" s="1" t="str">
        <f t="shared" si="7"/>
        <v>Closed</v>
      </c>
      <c r="X56" s="1" t="str">
        <f t="shared" si="8"/>
        <v/>
      </c>
    </row>
    <row r="57" spans="2:24" x14ac:dyDescent="0.2">
      <c r="B57" s="3">
        <v>242</v>
      </c>
      <c r="C57" s="384">
        <v>2.85</v>
      </c>
      <c r="D57" s="4" t="s">
        <v>308</v>
      </c>
      <c r="E57" s="4" t="s">
        <v>0</v>
      </c>
      <c r="F57" s="4" t="s">
        <v>0</v>
      </c>
      <c r="G57" s="4" t="s">
        <v>5</v>
      </c>
      <c r="H57" s="4" t="s">
        <v>1</v>
      </c>
      <c r="I57" s="4"/>
      <c r="J57" s="4" t="s">
        <v>6</v>
      </c>
      <c r="K57" s="370" t="s">
        <v>311</v>
      </c>
      <c r="M57" s="1">
        <f t="shared" si="1"/>
        <v>242</v>
      </c>
      <c r="N57" s="1">
        <f t="shared" si="2"/>
        <v>17</v>
      </c>
      <c r="R57" s="1">
        <f t="shared" si="39"/>
        <v>17</v>
      </c>
      <c r="S57" s="1">
        <f t="shared" si="4"/>
        <v>14</v>
      </c>
      <c r="T57" s="1">
        <f t="shared" si="38"/>
        <v>2</v>
      </c>
      <c r="V57" s="1">
        <f t="shared" si="6"/>
        <v>2</v>
      </c>
      <c r="W57" s="1" t="str">
        <f t="shared" si="7"/>
        <v>Closed</v>
      </c>
      <c r="X57" s="1" t="str">
        <f t="shared" si="8"/>
        <v/>
      </c>
    </row>
    <row r="58" spans="2:24" x14ac:dyDescent="0.2">
      <c r="B58" s="3">
        <v>243</v>
      </c>
      <c r="C58" s="384">
        <v>2.85</v>
      </c>
      <c r="D58" s="4" t="s">
        <v>308</v>
      </c>
      <c r="E58" s="4" t="s">
        <v>0</v>
      </c>
      <c r="F58" s="4" t="s">
        <v>0</v>
      </c>
      <c r="G58" s="4" t="s">
        <v>3</v>
      </c>
      <c r="H58" s="4" t="s">
        <v>0</v>
      </c>
      <c r="I58" s="4" t="s">
        <v>3</v>
      </c>
      <c r="J58" s="4" t="s">
        <v>2</v>
      </c>
      <c r="K58" s="370" t="s">
        <v>311</v>
      </c>
      <c r="M58" s="1" t="str">
        <f t="shared" si="1"/>
        <v/>
      </c>
      <c r="N58" s="1" t="str">
        <f t="shared" si="2"/>
        <v/>
      </c>
      <c r="R58" s="1">
        <f t="shared" si="39"/>
        <v>18</v>
      </c>
      <c r="S58" s="1">
        <f t="shared" si="4"/>
        <v>15</v>
      </c>
      <c r="T58" s="1">
        <f t="shared" si="38"/>
        <v>3</v>
      </c>
      <c r="V58" s="1">
        <f t="shared" si="6"/>
        <v>3</v>
      </c>
      <c r="W58" s="1" t="str">
        <f t="shared" si="7"/>
        <v>Open</v>
      </c>
      <c r="X58" s="1" t="str">
        <f t="shared" si="8"/>
        <v/>
      </c>
    </row>
    <row r="59" spans="2:24" x14ac:dyDescent="0.2">
      <c r="B59" s="3">
        <v>244</v>
      </c>
      <c r="C59" s="384">
        <v>2.85</v>
      </c>
      <c r="D59" s="4" t="s">
        <v>308</v>
      </c>
      <c r="E59" s="4" t="s">
        <v>0</v>
      </c>
      <c r="F59" s="4" t="s">
        <v>0</v>
      </c>
      <c r="G59" s="4" t="s">
        <v>4</v>
      </c>
      <c r="H59" s="4" t="s">
        <v>0</v>
      </c>
      <c r="I59" s="4" t="s">
        <v>4</v>
      </c>
      <c r="J59" s="4" t="s">
        <v>2</v>
      </c>
      <c r="K59" s="370" t="s">
        <v>311</v>
      </c>
      <c r="M59" s="1" t="str">
        <f t="shared" si="1"/>
        <v/>
      </c>
      <c r="N59" s="1" t="str">
        <f t="shared" si="2"/>
        <v/>
      </c>
      <c r="R59" s="1">
        <f t="shared" si="39"/>
        <v>19</v>
      </c>
      <c r="S59" s="1">
        <f t="shared" si="4"/>
        <v>16</v>
      </c>
      <c r="T59" s="1">
        <f t="shared" si="38"/>
        <v>4</v>
      </c>
      <c r="V59" s="1">
        <f t="shared" si="6"/>
        <v>4</v>
      </c>
      <c r="W59" s="1" t="str">
        <f t="shared" si="7"/>
        <v>Open</v>
      </c>
      <c r="X59" s="1" t="str">
        <f t="shared" si="8"/>
        <v/>
      </c>
    </row>
    <row r="60" spans="2:24" x14ac:dyDescent="0.2">
      <c r="B60" s="3">
        <v>245</v>
      </c>
      <c r="C60" s="384">
        <v>2.85</v>
      </c>
      <c r="D60" s="4" t="s">
        <v>308</v>
      </c>
      <c r="E60" s="4" t="s">
        <v>0</v>
      </c>
      <c r="F60" s="4" t="s">
        <v>0</v>
      </c>
      <c r="G60" s="4" t="s">
        <v>5</v>
      </c>
      <c r="H60" s="4" t="s">
        <v>0</v>
      </c>
      <c r="I60" s="4" t="s">
        <v>5</v>
      </c>
      <c r="J60" s="4" t="s">
        <v>2</v>
      </c>
      <c r="K60" s="370" t="s">
        <v>311</v>
      </c>
      <c r="M60" s="1" t="str">
        <f t="shared" si="1"/>
        <v/>
      </c>
      <c r="N60" s="1" t="str">
        <f t="shared" si="2"/>
        <v/>
      </c>
      <c r="R60" s="1">
        <f t="shared" si="39"/>
        <v>20</v>
      </c>
      <c r="S60" s="1">
        <f t="shared" si="4"/>
        <v>17</v>
      </c>
      <c r="T60" s="1">
        <f t="shared" si="38"/>
        <v>5</v>
      </c>
      <c r="V60" s="1">
        <f t="shared" si="6"/>
        <v>5</v>
      </c>
      <c r="W60" s="1" t="str">
        <f t="shared" si="7"/>
        <v>Open</v>
      </c>
      <c r="X60" s="1" t="str">
        <f t="shared" si="8"/>
        <v/>
      </c>
    </row>
    <row r="61" spans="2:24" x14ac:dyDescent="0.2">
      <c r="B61" s="3">
        <v>246</v>
      </c>
      <c r="C61" s="384">
        <v>2.85</v>
      </c>
      <c r="D61" s="4" t="s">
        <v>308</v>
      </c>
      <c r="E61" s="4" t="s">
        <v>0</v>
      </c>
      <c r="F61" s="4" t="s">
        <v>0</v>
      </c>
      <c r="G61" s="4" t="s">
        <v>3</v>
      </c>
      <c r="H61" s="4" t="s">
        <v>0</v>
      </c>
      <c r="I61" s="4" t="s">
        <v>3</v>
      </c>
      <c r="J61" s="4" t="s">
        <v>6</v>
      </c>
      <c r="K61" s="370" t="s">
        <v>311</v>
      </c>
      <c r="M61" s="1">
        <f t="shared" si="1"/>
        <v>246</v>
      </c>
      <c r="N61" s="1">
        <f t="shared" si="2"/>
        <v>21</v>
      </c>
      <c r="R61" s="1">
        <f t="shared" si="39"/>
        <v>21</v>
      </c>
      <c r="S61" s="1">
        <f t="shared" si="4"/>
        <v>18</v>
      </c>
      <c r="T61" s="1">
        <f t="shared" si="38"/>
        <v>0</v>
      </c>
      <c r="V61" s="1">
        <f t="shared" si="6"/>
        <v>0</v>
      </c>
      <c r="W61" s="1" t="str">
        <f t="shared" si="7"/>
        <v>Closed</v>
      </c>
      <c r="X61" s="1" t="str">
        <f t="shared" si="8"/>
        <v/>
      </c>
    </row>
    <row r="62" spans="2:24" x14ac:dyDescent="0.2">
      <c r="B62" s="3">
        <v>247</v>
      </c>
      <c r="C62" s="384">
        <v>2.85</v>
      </c>
      <c r="D62" s="4" t="s">
        <v>308</v>
      </c>
      <c r="E62" s="4" t="s">
        <v>0</v>
      </c>
      <c r="F62" s="4" t="s">
        <v>0</v>
      </c>
      <c r="G62" s="4" t="s">
        <v>4</v>
      </c>
      <c r="H62" s="4" t="s">
        <v>0</v>
      </c>
      <c r="I62" s="4" t="s">
        <v>4</v>
      </c>
      <c r="J62" s="4" t="s">
        <v>6</v>
      </c>
      <c r="K62" s="370" t="s">
        <v>311</v>
      </c>
      <c r="M62" s="1">
        <f t="shared" si="1"/>
        <v>247</v>
      </c>
      <c r="N62" s="1">
        <f t="shared" si="2"/>
        <v>22</v>
      </c>
      <c r="R62" s="1">
        <f t="shared" si="39"/>
        <v>22</v>
      </c>
      <c r="S62" s="1">
        <f t="shared" si="4"/>
        <v>19</v>
      </c>
      <c r="T62" s="1">
        <f t="shared" si="38"/>
        <v>1</v>
      </c>
      <c r="V62" s="1">
        <f t="shared" si="6"/>
        <v>1</v>
      </c>
      <c r="W62" s="1" t="str">
        <f t="shared" si="7"/>
        <v>Closed</v>
      </c>
      <c r="X62" s="1" t="str">
        <f t="shared" si="8"/>
        <v/>
      </c>
    </row>
    <row r="63" spans="2:24" x14ac:dyDescent="0.2">
      <c r="B63" s="3">
        <v>248</v>
      </c>
      <c r="C63" s="384">
        <v>2.85</v>
      </c>
      <c r="D63" s="4" t="s">
        <v>308</v>
      </c>
      <c r="E63" s="4" t="s">
        <v>0</v>
      </c>
      <c r="F63" s="4" t="s">
        <v>0</v>
      </c>
      <c r="G63" s="4" t="s">
        <v>5</v>
      </c>
      <c r="H63" s="4" t="s">
        <v>0</v>
      </c>
      <c r="I63" s="4" t="s">
        <v>5</v>
      </c>
      <c r="J63" s="4" t="s">
        <v>6</v>
      </c>
      <c r="K63" s="370" t="s">
        <v>311</v>
      </c>
      <c r="M63" s="1">
        <f t="shared" si="1"/>
        <v>248</v>
      </c>
      <c r="N63" s="1">
        <f t="shared" si="2"/>
        <v>23</v>
      </c>
      <c r="R63" s="1">
        <f t="shared" si="39"/>
        <v>23</v>
      </c>
      <c r="S63" s="1">
        <f t="shared" si="4"/>
        <v>20</v>
      </c>
      <c r="T63" s="1">
        <f t="shared" si="38"/>
        <v>2</v>
      </c>
      <c r="V63" s="1">
        <f t="shared" si="6"/>
        <v>2</v>
      </c>
      <c r="W63" s="1" t="str">
        <f t="shared" si="7"/>
        <v>Closed</v>
      </c>
      <c r="X63" s="1" t="str">
        <f t="shared" si="8"/>
        <v/>
      </c>
    </row>
    <row r="64" spans="2:24" x14ac:dyDescent="0.2">
      <c r="B64" s="3"/>
      <c r="C64" s="4"/>
      <c r="D64" s="4"/>
      <c r="E64" s="384"/>
      <c r="F64" s="4"/>
      <c r="G64" s="4"/>
      <c r="H64" s="4"/>
      <c r="I64" s="4"/>
      <c r="J64" s="4"/>
      <c r="K64" s="370"/>
      <c r="M64" s="1" t="str">
        <f t="shared" si="1"/>
        <v/>
      </c>
      <c r="N64" s="1" t="str">
        <f t="shared" si="2"/>
        <v/>
      </c>
      <c r="R64" s="1">
        <f t="shared" si="39"/>
        <v>0</v>
      </c>
      <c r="S64" s="1">
        <f t="shared" si="4"/>
        <v>-3</v>
      </c>
      <c r="T64" s="1">
        <f t="shared" si="38"/>
        <v>3</v>
      </c>
    </row>
    <row r="65" spans="2:24" x14ac:dyDescent="0.2">
      <c r="B65" s="3">
        <v>250</v>
      </c>
      <c r="C65" s="384">
        <v>1</v>
      </c>
      <c r="D65" s="4" t="s">
        <v>307</v>
      </c>
      <c r="E65" s="4" t="s">
        <v>0</v>
      </c>
      <c r="F65" s="4" t="s">
        <v>0</v>
      </c>
      <c r="G65" s="4" t="s">
        <v>3</v>
      </c>
      <c r="H65" s="4" t="s">
        <v>1</v>
      </c>
      <c r="I65" s="4"/>
      <c r="J65" s="4" t="s">
        <v>2</v>
      </c>
      <c r="K65" s="370" t="s">
        <v>311</v>
      </c>
      <c r="M65" s="1" t="str">
        <f t="shared" si="1"/>
        <v/>
      </c>
      <c r="N65" s="1" t="str">
        <f t="shared" si="2"/>
        <v/>
      </c>
      <c r="R65" s="1">
        <f t="shared" si="39"/>
        <v>0</v>
      </c>
      <c r="S65" s="1">
        <f t="shared" si="4"/>
        <v>-3</v>
      </c>
      <c r="T65" s="1">
        <f t="shared" si="38"/>
        <v>3</v>
      </c>
      <c r="V65" s="1">
        <f t="shared" si="6"/>
        <v>3</v>
      </c>
      <c r="W65" s="1" t="str">
        <f t="shared" si="7"/>
        <v>Open</v>
      </c>
      <c r="X65" s="1" t="str">
        <f t="shared" si="8"/>
        <v/>
      </c>
    </row>
    <row r="66" spans="2:24" x14ac:dyDescent="0.2">
      <c r="B66" s="3">
        <v>251</v>
      </c>
      <c r="C66" s="384">
        <v>1</v>
      </c>
      <c r="D66" s="4" t="s">
        <v>307</v>
      </c>
      <c r="E66" s="4" t="s">
        <v>0</v>
      </c>
      <c r="F66" s="4" t="s">
        <v>0</v>
      </c>
      <c r="G66" s="4" t="s">
        <v>4</v>
      </c>
      <c r="H66" s="4" t="s">
        <v>1</v>
      </c>
      <c r="I66" s="4"/>
      <c r="J66" s="4" t="s">
        <v>2</v>
      </c>
      <c r="K66" s="370" t="s">
        <v>311</v>
      </c>
      <c r="M66" s="1" t="str">
        <f t="shared" si="1"/>
        <v/>
      </c>
      <c r="N66" s="1" t="str">
        <f t="shared" si="2"/>
        <v/>
      </c>
      <c r="R66" s="1">
        <f t="shared" si="39"/>
        <v>1</v>
      </c>
      <c r="S66" s="1">
        <f t="shared" si="4"/>
        <v>-2</v>
      </c>
      <c r="T66" s="1">
        <f t="shared" si="38"/>
        <v>4</v>
      </c>
      <c r="V66" s="1">
        <f t="shared" si="6"/>
        <v>4</v>
      </c>
      <c r="W66" s="1" t="str">
        <f t="shared" si="7"/>
        <v>Open</v>
      </c>
      <c r="X66" s="1" t="str">
        <f t="shared" si="8"/>
        <v/>
      </c>
    </row>
    <row r="67" spans="2:24" x14ac:dyDescent="0.2">
      <c r="B67" s="3">
        <v>252</v>
      </c>
      <c r="C67" s="384">
        <v>1</v>
      </c>
      <c r="D67" s="4" t="s">
        <v>307</v>
      </c>
      <c r="E67" s="4" t="s">
        <v>0</v>
      </c>
      <c r="F67" s="4" t="s">
        <v>0</v>
      </c>
      <c r="G67" s="4" t="s">
        <v>5</v>
      </c>
      <c r="H67" s="4" t="s">
        <v>1</v>
      </c>
      <c r="I67" s="4"/>
      <c r="J67" s="4" t="s">
        <v>2</v>
      </c>
      <c r="K67" s="370" t="s">
        <v>311</v>
      </c>
      <c r="M67" s="1" t="str">
        <f t="shared" si="1"/>
        <v/>
      </c>
      <c r="N67" s="1" t="str">
        <f t="shared" si="2"/>
        <v/>
      </c>
      <c r="R67" s="1">
        <f t="shared" si="39"/>
        <v>2</v>
      </c>
      <c r="S67" s="1">
        <f t="shared" si="4"/>
        <v>-1</v>
      </c>
      <c r="T67" s="1">
        <f t="shared" si="38"/>
        <v>5</v>
      </c>
      <c r="V67" s="1">
        <f t="shared" si="6"/>
        <v>5</v>
      </c>
      <c r="W67" s="1" t="str">
        <f t="shared" si="7"/>
        <v>Open</v>
      </c>
      <c r="X67" s="1" t="str">
        <f t="shared" si="8"/>
        <v/>
      </c>
    </row>
    <row r="68" spans="2:24" x14ac:dyDescent="0.2">
      <c r="B68" s="3">
        <v>253</v>
      </c>
      <c r="C68" s="384">
        <v>1</v>
      </c>
      <c r="D68" s="4" t="s">
        <v>307</v>
      </c>
      <c r="E68" s="4" t="s">
        <v>0</v>
      </c>
      <c r="F68" s="4" t="s">
        <v>0</v>
      </c>
      <c r="G68" s="4" t="s">
        <v>3</v>
      </c>
      <c r="H68" s="4" t="s">
        <v>1</v>
      </c>
      <c r="I68" s="4"/>
      <c r="J68" s="4" t="s">
        <v>6</v>
      </c>
      <c r="K68" s="370" t="s">
        <v>311</v>
      </c>
      <c r="M68" s="1">
        <f t="shared" si="1"/>
        <v>253</v>
      </c>
      <c r="N68" s="1">
        <f t="shared" si="2"/>
        <v>3</v>
      </c>
      <c r="R68" s="1">
        <f t="shared" si="39"/>
        <v>3</v>
      </c>
      <c r="S68" s="1">
        <f t="shared" si="4"/>
        <v>0</v>
      </c>
      <c r="T68" s="1">
        <f t="shared" si="38"/>
        <v>0</v>
      </c>
      <c r="V68" s="1">
        <f t="shared" si="6"/>
        <v>0</v>
      </c>
      <c r="W68" s="1" t="str">
        <f t="shared" si="7"/>
        <v>Closed</v>
      </c>
      <c r="X68" s="1" t="str">
        <f t="shared" si="8"/>
        <v/>
      </c>
    </row>
    <row r="69" spans="2:24" x14ac:dyDescent="0.2">
      <c r="B69" s="3">
        <v>254</v>
      </c>
      <c r="C69" s="384">
        <v>1</v>
      </c>
      <c r="D69" s="4" t="s">
        <v>307</v>
      </c>
      <c r="E69" s="4" t="s">
        <v>0</v>
      </c>
      <c r="F69" s="4" t="s">
        <v>0</v>
      </c>
      <c r="G69" s="4" t="s">
        <v>4</v>
      </c>
      <c r="H69" s="4" t="s">
        <v>1</v>
      </c>
      <c r="I69" s="4"/>
      <c r="J69" s="4" t="s">
        <v>6</v>
      </c>
      <c r="K69" s="370" t="s">
        <v>311</v>
      </c>
      <c r="M69" s="1">
        <f t="shared" si="1"/>
        <v>254</v>
      </c>
      <c r="N69" s="1">
        <f t="shared" si="2"/>
        <v>4</v>
      </c>
      <c r="R69" s="1">
        <f t="shared" si="39"/>
        <v>4</v>
      </c>
      <c r="S69" s="1">
        <f t="shared" si="4"/>
        <v>1</v>
      </c>
      <c r="T69" s="1">
        <f t="shared" si="38"/>
        <v>1</v>
      </c>
      <c r="V69" s="1">
        <f t="shared" si="6"/>
        <v>1</v>
      </c>
      <c r="W69" s="1" t="str">
        <f t="shared" si="7"/>
        <v>Closed</v>
      </c>
      <c r="X69" s="1" t="str">
        <f t="shared" si="8"/>
        <v/>
      </c>
    </row>
    <row r="70" spans="2:24" x14ac:dyDescent="0.2">
      <c r="B70" s="3">
        <v>255</v>
      </c>
      <c r="C70" s="384">
        <v>1</v>
      </c>
      <c r="D70" s="4" t="s">
        <v>307</v>
      </c>
      <c r="E70" s="4" t="s">
        <v>0</v>
      </c>
      <c r="F70" s="4" t="s">
        <v>0</v>
      </c>
      <c r="G70" s="4" t="s">
        <v>5</v>
      </c>
      <c r="H70" s="4" t="s">
        <v>1</v>
      </c>
      <c r="I70" s="4"/>
      <c r="J70" s="4" t="s">
        <v>6</v>
      </c>
      <c r="K70" s="370" t="s">
        <v>311</v>
      </c>
      <c r="M70" s="1">
        <f t="shared" si="1"/>
        <v>255</v>
      </c>
      <c r="N70" s="1">
        <f t="shared" si="2"/>
        <v>5</v>
      </c>
      <c r="R70" s="1">
        <f t="shared" si="39"/>
        <v>5</v>
      </c>
      <c r="S70" s="1">
        <f t="shared" si="4"/>
        <v>2</v>
      </c>
      <c r="T70" s="1">
        <f t="shared" si="38"/>
        <v>2</v>
      </c>
      <c r="V70" s="1">
        <f t="shared" si="6"/>
        <v>2</v>
      </c>
      <c r="W70" s="1" t="str">
        <f t="shared" si="7"/>
        <v>Closed</v>
      </c>
      <c r="X70" s="1" t="str">
        <f t="shared" si="8"/>
        <v/>
      </c>
    </row>
    <row r="71" spans="2:24" x14ac:dyDescent="0.2">
      <c r="B71" s="3">
        <v>256</v>
      </c>
      <c r="C71" s="384">
        <v>1</v>
      </c>
      <c r="D71" s="4" t="s">
        <v>307</v>
      </c>
      <c r="E71" s="4" t="s">
        <v>0</v>
      </c>
      <c r="F71" s="4" t="s">
        <v>0</v>
      </c>
      <c r="G71" s="4" t="s">
        <v>3</v>
      </c>
      <c r="H71" s="4" t="s">
        <v>0</v>
      </c>
      <c r="I71" s="4" t="s">
        <v>3</v>
      </c>
      <c r="J71" s="4" t="s">
        <v>2</v>
      </c>
      <c r="K71" s="370" t="s">
        <v>311</v>
      </c>
      <c r="M71" s="1" t="str">
        <f t="shared" si="1"/>
        <v/>
      </c>
      <c r="N71" s="1" t="str">
        <f t="shared" si="2"/>
        <v/>
      </c>
      <c r="R71" s="1">
        <f t="shared" si="39"/>
        <v>6</v>
      </c>
      <c r="S71" s="1">
        <f t="shared" si="4"/>
        <v>3</v>
      </c>
      <c r="T71" s="1">
        <f t="shared" si="38"/>
        <v>3</v>
      </c>
      <c r="V71" s="1">
        <f t="shared" si="6"/>
        <v>3</v>
      </c>
      <c r="W71" s="1" t="str">
        <f t="shared" si="7"/>
        <v>Open</v>
      </c>
      <c r="X71" s="1" t="str">
        <f t="shared" si="8"/>
        <v/>
      </c>
    </row>
    <row r="72" spans="2:24" x14ac:dyDescent="0.2">
      <c r="B72" s="3">
        <v>257</v>
      </c>
      <c r="C72" s="384">
        <v>1</v>
      </c>
      <c r="D72" s="4" t="s">
        <v>307</v>
      </c>
      <c r="E72" s="4" t="s">
        <v>0</v>
      </c>
      <c r="F72" s="4" t="s">
        <v>0</v>
      </c>
      <c r="G72" s="4" t="s">
        <v>4</v>
      </c>
      <c r="H72" s="4" t="s">
        <v>0</v>
      </c>
      <c r="I72" s="4" t="s">
        <v>4</v>
      </c>
      <c r="J72" s="4" t="s">
        <v>2</v>
      </c>
      <c r="K72" s="370" t="s">
        <v>311</v>
      </c>
      <c r="M72" s="1" t="str">
        <f t="shared" si="1"/>
        <v/>
      </c>
      <c r="N72" s="1" t="str">
        <f t="shared" si="2"/>
        <v/>
      </c>
      <c r="R72" s="1">
        <f t="shared" si="39"/>
        <v>7</v>
      </c>
      <c r="S72" s="1">
        <f t="shared" si="4"/>
        <v>4</v>
      </c>
      <c r="T72" s="1">
        <f t="shared" si="38"/>
        <v>4</v>
      </c>
      <c r="V72" s="1">
        <f t="shared" si="6"/>
        <v>4</v>
      </c>
      <c r="W72" s="1" t="str">
        <f t="shared" si="7"/>
        <v>Open</v>
      </c>
      <c r="X72" s="1" t="str">
        <f t="shared" si="8"/>
        <v/>
      </c>
    </row>
    <row r="73" spans="2:24" x14ac:dyDescent="0.2">
      <c r="B73" s="3">
        <v>258</v>
      </c>
      <c r="C73" s="384">
        <v>1</v>
      </c>
      <c r="D73" s="4" t="s">
        <v>307</v>
      </c>
      <c r="E73" s="4" t="s">
        <v>0</v>
      </c>
      <c r="F73" s="4" t="s">
        <v>0</v>
      </c>
      <c r="G73" s="4" t="s">
        <v>5</v>
      </c>
      <c r="H73" s="4" t="s">
        <v>0</v>
      </c>
      <c r="I73" s="4" t="s">
        <v>5</v>
      </c>
      <c r="J73" s="4" t="s">
        <v>2</v>
      </c>
      <c r="K73" s="370" t="s">
        <v>311</v>
      </c>
      <c r="M73" s="1" t="str">
        <f t="shared" si="1"/>
        <v/>
      </c>
      <c r="N73" s="1" t="str">
        <f t="shared" si="2"/>
        <v/>
      </c>
      <c r="R73" s="1">
        <f t="shared" si="39"/>
        <v>8</v>
      </c>
      <c r="S73" s="1">
        <f t="shared" si="4"/>
        <v>5</v>
      </c>
      <c r="T73" s="1">
        <f t="shared" si="38"/>
        <v>5</v>
      </c>
      <c r="V73" s="1">
        <f t="shared" si="6"/>
        <v>5</v>
      </c>
      <c r="W73" s="1" t="str">
        <f t="shared" si="7"/>
        <v>Open</v>
      </c>
      <c r="X73" s="1" t="str">
        <f t="shared" si="8"/>
        <v/>
      </c>
    </row>
    <row r="74" spans="2:24" x14ac:dyDescent="0.2">
      <c r="B74" s="3">
        <v>259</v>
      </c>
      <c r="C74" s="384">
        <v>1</v>
      </c>
      <c r="D74" s="4" t="s">
        <v>307</v>
      </c>
      <c r="E74" s="4" t="s">
        <v>0</v>
      </c>
      <c r="F74" s="4" t="s">
        <v>0</v>
      </c>
      <c r="G74" s="4" t="s">
        <v>3</v>
      </c>
      <c r="H74" s="4" t="s">
        <v>0</v>
      </c>
      <c r="I74" s="4" t="s">
        <v>3</v>
      </c>
      <c r="J74" s="4" t="s">
        <v>6</v>
      </c>
      <c r="K74" s="370" t="s">
        <v>311</v>
      </c>
      <c r="M74" s="1">
        <f t="shared" si="1"/>
        <v>259</v>
      </c>
      <c r="N74" s="1">
        <f t="shared" si="2"/>
        <v>9</v>
      </c>
      <c r="R74" s="1">
        <f t="shared" si="39"/>
        <v>9</v>
      </c>
      <c r="S74" s="1">
        <f t="shared" si="4"/>
        <v>6</v>
      </c>
      <c r="T74" s="1">
        <f t="shared" si="38"/>
        <v>0</v>
      </c>
      <c r="V74" s="1">
        <f t="shared" si="6"/>
        <v>0</v>
      </c>
      <c r="W74" s="1" t="str">
        <f t="shared" si="7"/>
        <v>Closed</v>
      </c>
      <c r="X74" s="1" t="str">
        <f t="shared" si="8"/>
        <v/>
      </c>
    </row>
    <row r="75" spans="2:24" x14ac:dyDescent="0.2">
      <c r="B75" s="3">
        <v>260</v>
      </c>
      <c r="C75" s="384">
        <v>1</v>
      </c>
      <c r="D75" s="4" t="s">
        <v>307</v>
      </c>
      <c r="E75" s="4" t="s">
        <v>0</v>
      </c>
      <c r="F75" s="4" t="s">
        <v>0</v>
      </c>
      <c r="G75" s="4" t="s">
        <v>4</v>
      </c>
      <c r="H75" s="4" t="s">
        <v>0</v>
      </c>
      <c r="I75" s="4" t="s">
        <v>4</v>
      </c>
      <c r="J75" s="4" t="s">
        <v>6</v>
      </c>
      <c r="K75" s="370" t="s">
        <v>311</v>
      </c>
      <c r="M75" s="1">
        <f t="shared" si="1"/>
        <v>260</v>
      </c>
      <c r="N75" s="1">
        <f t="shared" si="2"/>
        <v>10</v>
      </c>
      <c r="R75" s="1">
        <f t="shared" si="39"/>
        <v>10</v>
      </c>
      <c r="S75" s="1">
        <f t="shared" si="4"/>
        <v>7</v>
      </c>
      <c r="T75" s="1">
        <f t="shared" si="38"/>
        <v>1</v>
      </c>
      <c r="V75" s="1">
        <f t="shared" si="6"/>
        <v>1</v>
      </c>
      <c r="W75" s="1" t="str">
        <f t="shared" si="7"/>
        <v>Closed</v>
      </c>
      <c r="X75" s="1" t="str">
        <f t="shared" si="8"/>
        <v/>
      </c>
    </row>
    <row r="76" spans="2:24" x14ac:dyDescent="0.2">
      <c r="B76" s="3">
        <v>261</v>
      </c>
      <c r="C76" s="384">
        <v>1</v>
      </c>
      <c r="D76" s="4" t="s">
        <v>307</v>
      </c>
      <c r="E76" s="4" t="s">
        <v>0</v>
      </c>
      <c r="F76" s="4" t="s">
        <v>0</v>
      </c>
      <c r="G76" s="4" t="s">
        <v>5</v>
      </c>
      <c r="H76" s="4" t="s">
        <v>0</v>
      </c>
      <c r="I76" s="4" t="s">
        <v>5</v>
      </c>
      <c r="J76" s="4" t="s">
        <v>6</v>
      </c>
      <c r="K76" s="370" t="s">
        <v>311</v>
      </c>
      <c r="M76" s="1">
        <f t="shared" si="1"/>
        <v>261</v>
      </c>
      <c r="N76" s="1">
        <f t="shared" si="2"/>
        <v>11</v>
      </c>
      <c r="R76" s="1">
        <f t="shared" si="39"/>
        <v>11</v>
      </c>
      <c r="S76" s="1">
        <f t="shared" si="4"/>
        <v>8</v>
      </c>
      <c r="T76" s="1">
        <f t="shared" si="38"/>
        <v>2</v>
      </c>
      <c r="V76" s="1">
        <f t="shared" si="6"/>
        <v>2</v>
      </c>
      <c r="W76" s="1" t="str">
        <f t="shared" si="7"/>
        <v>Closed</v>
      </c>
      <c r="X76" s="1" t="str">
        <f t="shared" si="8"/>
        <v/>
      </c>
    </row>
    <row r="77" spans="2:24" x14ac:dyDescent="0.2">
      <c r="B77" s="3">
        <v>262</v>
      </c>
      <c r="C77" s="384">
        <v>1</v>
      </c>
      <c r="D77" s="4" t="s">
        <v>308</v>
      </c>
      <c r="E77" s="4" t="s">
        <v>0</v>
      </c>
      <c r="F77" s="4" t="s">
        <v>0</v>
      </c>
      <c r="G77" s="4" t="s">
        <v>3</v>
      </c>
      <c r="H77" s="4" t="s">
        <v>1</v>
      </c>
      <c r="I77" s="4"/>
      <c r="J77" s="4" t="s">
        <v>2</v>
      </c>
      <c r="K77" s="370" t="s">
        <v>311</v>
      </c>
      <c r="M77" s="1" t="str">
        <f t="shared" si="1"/>
        <v/>
      </c>
      <c r="N77" s="1" t="str">
        <f t="shared" si="2"/>
        <v/>
      </c>
      <c r="R77" s="1">
        <f t="shared" si="39"/>
        <v>12</v>
      </c>
      <c r="S77" s="1">
        <f t="shared" si="4"/>
        <v>9</v>
      </c>
      <c r="T77" s="1">
        <f t="shared" si="38"/>
        <v>3</v>
      </c>
      <c r="V77" s="1">
        <f t="shared" si="6"/>
        <v>3</v>
      </c>
      <c r="W77" s="1" t="str">
        <f t="shared" si="7"/>
        <v>Open</v>
      </c>
      <c r="X77" s="1" t="str">
        <f t="shared" si="8"/>
        <v/>
      </c>
    </row>
    <row r="78" spans="2:24" x14ac:dyDescent="0.2">
      <c r="B78" s="3">
        <v>263</v>
      </c>
      <c r="C78" s="384">
        <v>1</v>
      </c>
      <c r="D78" s="4" t="s">
        <v>308</v>
      </c>
      <c r="E78" s="4" t="s">
        <v>0</v>
      </c>
      <c r="F78" s="4" t="s">
        <v>0</v>
      </c>
      <c r="G78" s="4" t="s">
        <v>4</v>
      </c>
      <c r="H78" s="4" t="s">
        <v>1</v>
      </c>
      <c r="I78" s="4"/>
      <c r="J78" s="4" t="s">
        <v>2</v>
      </c>
      <c r="K78" s="370" t="s">
        <v>311</v>
      </c>
      <c r="M78" s="1" t="str">
        <f t="shared" si="1"/>
        <v/>
      </c>
      <c r="N78" s="1" t="str">
        <f t="shared" si="2"/>
        <v/>
      </c>
      <c r="R78" s="1">
        <f t="shared" si="39"/>
        <v>13</v>
      </c>
      <c r="S78" s="1">
        <f t="shared" si="4"/>
        <v>10</v>
      </c>
      <c r="T78" s="1">
        <f t="shared" si="38"/>
        <v>4</v>
      </c>
      <c r="V78" s="1">
        <f t="shared" si="6"/>
        <v>4</v>
      </c>
      <c r="W78" s="1" t="str">
        <f t="shared" si="7"/>
        <v>Open</v>
      </c>
      <c r="X78" s="1" t="str">
        <f t="shared" si="8"/>
        <v/>
      </c>
    </row>
    <row r="79" spans="2:24" x14ac:dyDescent="0.2">
      <c r="B79" s="3">
        <v>264</v>
      </c>
      <c r="C79" s="384">
        <v>1</v>
      </c>
      <c r="D79" s="4" t="s">
        <v>308</v>
      </c>
      <c r="E79" s="4" t="s">
        <v>0</v>
      </c>
      <c r="F79" s="4" t="s">
        <v>0</v>
      </c>
      <c r="G79" s="4" t="s">
        <v>5</v>
      </c>
      <c r="H79" s="4" t="s">
        <v>1</v>
      </c>
      <c r="I79" s="4"/>
      <c r="J79" s="4" t="s">
        <v>2</v>
      </c>
      <c r="K79" s="370" t="s">
        <v>311</v>
      </c>
      <c r="M79" s="1" t="str">
        <f t="shared" si="1"/>
        <v/>
      </c>
      <c r="N79" s="1" t="str">
        <f t="shared" si="2"/>
        <v/>
      </c>
      <c r="R79" s="1">
        <f t="shared" si="39"/>
        <v>14</v>
      </c>
      <c r="S79" s="1">
        <f t="shared" si="4"/>
        <v>11</v>
      </c>
      <c r="T79" s="1">
        <f t="shared" si="38"/>
        <v>5</v>
      </c>
      <c r="V79" s="1">
        <f t="shared" si="6"/>
        <v>5</v>
      </c>
      <c r="W79" s="1" t="str">
        <f t="shared" si="7"/>
        <v>Open</v>
      </c>
      <c r="X79" s="1" t="str">
        <f t="shared" si="8"/>
        <v/>
      </c>
    </row>
    <row r="80" spans="2:24" x14ac:dyDescent="0.2">
      <c r="B80" s="3">
        <v>265</v>
      </c>
      <c r="C80" s="384">
        <v>1</v>
      </c>
      <c r="D80" s="4" t="s">
        <v>308</v>
      </c>
      <c r="E80" s="4" t="s">
        <v>0</v>
      </c>
      <c r="F80" s="4" t="s">
        <v>0</v>
      </c>
      <c r="G80" s="4" t="s">
        <v>3</v>
      </c>
      <c r="H80" s="4" t="s">
        <v>1</v>
      </c>
      <c r="I80" s="4"/>
      <c r="J80" s="4" t="s">
        <v>6</v>
      </c>
      <c r="K80" s="370" t="s">
        <v>311</v>
      </c>
      <c r="M80" s="1">
        <f t="shared" ref="M80:M113" si="40">IF(J80="Closed",B80,"")</f>
        <v>265</v>
      </c>
      <c r="N80" s="1">
        <f t="shared" ref="N80:N113" si="41">IF(M80&lt;&gt;"", MOD(M80,25),"")</f>
        <v>15</v>
      </c>
      <c r="R80" s="1">
        <f t="shared" si="39"/>
        <v>15</v>
      </c>
      <c r="S80" s="1">
        <f t="shared" ref="S80:S143" si="42">R80-3</f>
        <v>12</v>
      </c>
      <c r="T80" s="1">
        <f t="shared" si="38"/>
        <v>0</v>
      </c>
      <c r="V80" s="1">
        <f t="shared" ref="V80:V113" si="43">MOD(MOD(B80,25)-3,6)</f>
        <v>0</v>
      </c>
      <c r="W80" s="1" t="str">
        <f t="shared" ref="W80:W113" si="44">IF(V80&lt;3,"Closed","Open")</f>
        <v>Closed</v>
      </c>
      <c r="X80" s="1" t="str">
        <f t="shared" ref="X80:X113" si="45">IF(W80=J80,"","1")</f>
        <v/>
      </c>
    </row>
    <row r="81" spans="2:24" x14ac:dyDescent="0.2">
      <c r="B81" s="3">
        <v>266</v>
      </c>
      <c r="C81" s="384">
        <v>1</v>
      </c>
      <c r="D81" s="4" t="s">
        <v>308</v>
      </c>
      <c r="E81" s="4" t="s">
        <v>0</v>
      </c>
      <c r="F81" s="4" t="s">
        <v>0</v>
      </c>
      <c r="G81" s="4" t="s">
        <v>4</v>
      </c>
      <c r="H81" s="4" t="s">
        <v>1</v>
      </c>
      <c r="I81" s="4"/>
      <c r="J81" s="4" t="s">
        <v>6</v>
      </c>
      <c r="K81" s="370" t="s">
        <v>311</v>
      </c>
      <c r="M81" s="1">
        <f t="shared" si="40"/>
        <v>266</v>
      </c>
      <c r="N81" s="1">
        <f t="shared" si="41"/>
        <v>16</v>
      </c>
      <c r="R81" s="1">
        <f t="shared" si="39"/>
        <v>16</v>
      </c>
      <c r="S81" s="1">
        <f t="shared" si="42"/>
        <v>13</v>
      </c>
      <c r="T81" s="1">
        <f t="shared" si="38"/>
        <v>1</v>
      </c>
      <c r="V81" s="1">
        <f t="shared" si="43"/>
        <v>1</v>
      </c>
      <c r="W81" s="1" t="str">
        <f t="shared" si="44"/>
        <v>Closed</v>
      </c>
      <c r="X81" s="1" t="str">
        <f t="shared" si="45"/>
        <v/>
      </c>
    </row>
    <row r="82" spans="2:24" x14ac:dyDescent="0.2">
      <c r="B82" s="3">
        <v>267</v>
      </c>
      <c r="C82" s="384">
        <v>1</v>
      </c>
      <c r="D82" s="4" t="s">
        <v>308</v>
      </c>
      <c r="E82" s="4" t="s">
        <v>0</v>
      </c>
      <c r="F82" s="4" t="s">
        <v>0</v>
      </c>
      <c r="G82" s="4" t="s">
        <v>5</v>
      </c>
      <c r="H82" s="4" t="s">
        <v>1</v>
      </c>
      <c r="I82" s="4"/>
      <c r="J82" s="4" t="s">
        <v>6</v>
      </c>
      <c r="K82" s="370" t="s">
        <v>311</v>
      </c>
      <c r="M82" s="1">
        <f t="shared" si="40"/>
        <v>267</v>
      </c>
      <c r="N82" s="1">
        <f t="shared" si="41"/>
        <v>17</v>
      </c>
      <c r="R82" s="1">
        <f t="shared" si="39"/>
        <v>17</v>
      </c>
      <c r="S82" s="1">
        <f t="shared" si="42"/>
        <v>14</v>
      </c>
      <c r="T82" s="1">
        <f t="shared" si="38"/>
        <v>2</v>
      </c>
      <c r="V82" s="1">
        <f t="shared" si="43"/>
        <v>2</v>
      </c>
      <c r="W82" s="1" t="str">
        <f t="shared" si="44"/>
        <v>Closed</v>
      </c>
      <c r="X82" s="1" t="str">
        <f t="shared" si="45"/>
        <v/>
      </c>
    </row>
    <row r="83" spans="2:24" x14ac:dyDescent="0.2">
      <c r="B83" s="3">
        <v>268</v>
      </c>
      <c r="C83" s="384">
        <v>1</v>
      </c>
      <c r="D83" s="4" t="s">
        <v>308</v>
      </c>
      <c r="E83" s="4" t="s">
        <v>0</v>
      </c>
      <c r="F83" s="4" t="s">
        <v>0</v>
      </c>
      <c r="G83" s="4" t="s">
        <v>3</v>
      </c>
      <c r="H83" s="4" t="s">
        <v>0</v>
      </c>
      <c r="I83" s="4" t="s">
        <v>3</v>
      </c>
      <c r="J83" s="4" t="s">
        <v>2</v>
      </c>
      <c r="K83" s="370" t="s">
        <v>311</v>
      </c>
      <c r="M83" s="1" t="str">
        <f t="shared" si="40"/>
        <v/>
      </c>
      <c r="N83" s="1" t="str">
        <f t="shared" si="41"/>
        <v/>
      </c>
      <c r="R83" s="1">
        <f t="shared" si="39"/>
        <v>18</v>
      </c>
      <c r="S83" s="1">
        <f t="shared" si="42"/>
        <v>15</v>
      </c>
      <c r="T83" s="1">
        <f t="shared" si="38"/>
        <v>3</v>
      </c>
      <c r="V83" s="1">
        <f t="shared" si="43"/>
        <v>3</v>
      </c>
      <c r="W83" s="1" t="str">
        <f t="shared" si="44"/>
        <v>Open</v>
      </c>
      <c r="X83" s="1" t="str">
        <f t="shared" si="45"/>
        <v/>
      </c>
    </row>
    <row r="84" spans="2:24" x14ac:dyDescent="0.2">
      <c r="B84" s="3">
        <v>269</v>
      </c>
      <c r="C84" s="384">
        <v>1</v>
      </c>
      <c r="D84" s="4" t="s">
        <v>308</v>
      </c>
      <c r="E84" s="4" t="s">
        <v>0</v>
      </c>
      <c r="F84" s="4" t="s">
        <v>0</v>
      </c>
      <c r="G84" s="4" t="s">
        <v>4</v>
      </c>
      <c r="H84" s="4" t="s">
        <v>0</v>
      </c>
      <c r="I84" s="4" t="s">
        <v>4</v>
      </c>
      <c r="J84" s="4" t="s">
        <v>2</v>
      </c>
      <c r="K84" s="370" t="s">
        <v>311</v>
      </c>
      <c r="M84" s="1" t="str">
        <f t="shared" si="40"/>
        <v/>
      </c>
      <c r="N84" s="1" t="str">
        <f t="shared" si="41"/>
        <v/>
      </c>
      <c r="R84" s="1">
        <f t="shared" si="39"/>
        <v>19</v>
      </c>
      <c r="S84" s="1">
        <f t="shared" si="42"/>
        <v>16</v>
      </c>
      <c r="T84" s="1">
        <f t="shared" si="38"/>
        <v>4</v>
      </c>
      <c r="V84" s="1">
        <f t="shared" si="43"/>
        <v>4</v>
      </c>
      <c r="W84" s="1" t="str">
        <f t="shared" si="44"/>
        <v>Open</v>
      </c>
      <c r="X84" s="1" t="str">
        <f t="shared" si="45"/>
        <v/>
      </c>
    </row>
    <row r="85" spans="2:24" x14ac:dyDescent="0.2">
      <c r="B85" s="3">
        <v>270</v>
      </c>
      <c r="C85" s="384">
        <v>1</v>
      </c>
      <c r="D85" s="4" t="s">
        <v>308</v>
      </c>
      <c r="E85" s="4" t="s">
        <v>0</v>
      </c>
      <c r="F85" s="4" t="s">
        <v>0</v>
      </c>
      <c r="G85" s="4" t="s">
        <v>5</v>
      </c>
      <c r="H85" s="4" t="s">
        <v>0</v>
      </c>
      <c r="I85" s="4" t="s">
        <v>5</v>
      </c>
      <c r="J85" s="4" t="s">
        <v>2</v>
      </c>
      <c r="K85" s="370" t="s">
        <v>311</v>
      </c>
      <c r="M85" s="1" t="str">
        <f t="shared" si="40"/>
        <v/>
      </c>
      <c r="N85" s="1" t="str">
        <f t="shared" si="41"/>
        <v/>
      </c>
      <c r="R85" s="1">
        <f t="shared" si="39"/>
        <v>20</v>
      </c>
      <c r="S85" s="1">
        <f t="shared" si="42"/>
        <v>17</v>
      </c>
      <c r="T85" s="1">
        <f t="shared" si="38"/>
        <v>5</v>
      </c>
      <c r="V85" s="1">
        <f t="shared" si="43"/>
        <v>5</v>
      </c>
      <c r="W85" s="1" t="str">
        <f t="shared" si="44"/>
        <v>Open</v>
      </c>
      <c r="X85" s="1" t="str">
        <f t="shared" si="45"/>
        <v/>
      </c>
    </row>
    <row r="86" spans="2:24" x14ac:dyDescent="0.2">
      <c r="B86" s="3">
        <v>271</v>
      </c>
      <c r="C86" s="384">
        <v>1</v>
      </c>
      <c r="D86" s="4" t="s">
        <v>308</v>
      </c>
      <c r="E86" s="4" t="s">
        <v>0</v>
      </c>
      <c r="F86" s="4" t="s">
        <v>0</v>
      </c>
      <c r="G86" s="4" t="s">
        <v>3</v>
      </c>
      <c r="H86" s="4" t="s">
        <v>0</v>
      </c>
      <c r="I86" s="4" t="s">
        <v>3</v>
      </c>
      <c r="J86" s="4" t="s">
        <v>6</v>
      </c>
      <c r="K86" s="370" t="s">
        <v>311</v>
      </c>
      <c r="M86" s="1">
        <f t="shared" si="40"/>
        <v>271</v>
      </c>
      <c r="N86" s="1">
        <f t="shared" si="41"/>
        <v>21</v>
      </c>
      <c r="R86" s="1">
        <f t="shared" si="39"/>
        <v>21</v>
      </c>
      <c r="S86" s="1">
        <f t="shared" si="42"/>
        <v>18</v>
      </c>
      <c r="T86" s="1">
        <f t="shared" si="38"/>
        <v>0</v>
      </c>
      <c r="V86" s="1">
        <f t="shared" si="43"/>
        <v>0</v>
      </c>
      <c r="W86" s="1" t="str">
        <f t="shared" si="44"/>
        <v>Closed</v>
      </c>
      <c r="X86" s="1" t="str">
        <f t="shared" si="45"/>
        <v/>
      </c>
    </row>
    <row r="87" spans="2:24" x14ac:dyDescent="0.2">
      <c r="B87" s="3">
        <v>272</v>
      </c>
      <c r="C87" s="384">
        <v>1</v>
      </c>
      <c r="D87" s="4" t="s">
        <v>308</v>
      </c>
      <c r="E87" s="4" t="s">
        <v>0</v>
      </c>
      <c r="F87" s="4" t="s">
        <v>0</v>
      </c>
      <c r="G87" s="4" t="s">
        <v>4</v>
      </c>
      <c r="H87" s="4" t="s">
        <v>0</v>
      </c>
      <c r="I87" s="4" t="s">
        <v>4</v>
      </c>
      <c r="J87" s="4" t="s">
        <v>6</v>
      </c>
      <c r="K87" s="370" t="s">
        <v>311</v>
      </c>
      <c r="M87" s="1">
        <f t="shared" si="40"/>
        <v>272</v>
      </c>
      <c r="N87" s="1">
        <f t="shared" si="41"/>
        <v>22</v>
      </c>
      <c r="R87" s="1">
        <f t="shared" si="39"/>
        <v>22</v>
      </c>
      <c r="S87" s="1">
        <f t="shared" si="42"/>
        <v>19</v>
      </c>
      <c r="T87" s="1">
        <f t="shared" si="38"/>
        <v>1</v>
      </c>
      <c r="V87" s="1">
        <f t="shared" si="43"/>
        <v>1</v>
      </c>
      <c r="W87" s="1" t="str">
        <f t="shared" si="44"/>
        <v>Closed</v>
      </c>
      <c r="X87" s="1" t="str">
        <f t="shared" si="45"/>
        <v/>
      </c>
    </row>
    <row r="88" spans="2:24" x14ac:dyDescent="0.2">
      <c r="B88" s="3">
        <v>273</v>
      </c>
      <c r="C88" s="384">
        <v>1</v>
      </c>
      <c r="D88" s="4" t="s">
        <v>308</v>
      </c>
      <c r="E88" s="4" t="s">
        <v>0</v>
      </c>
      <c r="F88" s="4" t="s">
        <v>0</v>
      </c>
      <c r="G88" s="4" t="s">
        <v>5</v>
      </c>
      <c r="H88" s="4" t="s">
        <v>0</v>
      </c>
      <c r="I88" s="4" t="s">
        <v>5</v>
      </c>
      <c r="J88" s="4" t="s">
        <v>6</v>
      </c>
      <c r="K88" s="370" t="s">
        <v>311</v>
      </c>
      <c r="M88" s="1">
        <f t="shared" si="40"/>
        <v>273</v>
      </c>
      <c r="N88" s="1">
        <f t="shared" si="41"/>
        <v>23</v>
      </c>
      <c r="R88" s="1">
        <f t="shared" si="39"/>
        <v>23</v>
      </c>
      <c r="S88" s="1">
        <f t="shared" si="42"/>
        <v>20</v>
      </c>
      <c r="T88" s="1">
        <f t="shared" si="38"/>
        <v>2</v>
      </c>
      <c r="V88" s="1">
        <f t="shared" si="43"/>
        <v>2</v>
      </c>
      <c r="W88" s="1" t="str">
        <f t="shared" si="44"/>
        <v>Closed</v>
      </c>
      <c r="X88" s="1" t="str">
        <f t="shared" si="45"/>
        <v/>
      </c>
    </row>
    <row r="89" spans="2:24" x14ac:dyDescent="0.2">
      <c r="B89" s="3"/>
      <c r="C89" s="4"/>
      <c r="D89" s="4"/>
      <c r="E89" s="384"/>
      <c r="F89" s="4"/>
      <c r="G89" s="4"/>
      <c r="H89" s="4"/>
      <c r="I89" s="4"/>
      <c r="J89" s="4"/>
      <c r="K89" s="370"/>
      <c r="M89" s="1" t="str">
        <f t="shared" si="40"/>
        <v/>
      </c>
      <c r="N89" s="1" t="str">
        <f t="shared" si="41"/>
        <v/>
      </c>
      <c r="R89" s="1">
        <f t="shared" si="39"/>
        <v>0</v>
      </c>
      <c r="S89" s="1">
        <f t="shared" si="42"/>
        <v>-3</v>
      </c>
      <c r="T89" s="1">
        <f t="shared" si="38"/>
        <v>3</v>
      </c>
    </row>
    <row r="90" spans="2:24" x14ac:dyDescent="0.2">
      <c r="B90" s="3">
        <v>275</v>
      </c>
      <c r="C90" s="384">
        <v>0.53</v>
      </c>
      <c r="D90" s="4" t="s">
        <v>307</v>
      </c>
      <c r="E90" s="4" t="s">
        <v>0</v>
      </c>
      <c r="F90" s="4" t="s">
        <v>0</v>
      </c>
      <c r="G90" s="4" t="s">
        <v>3</v>
      </c>
      <c r="H90" s="4" t="s">
        <v>1</v>
      </c>
      <c r="I90" s="4"/>
      <c r="J90" s="4" t="s">
        <v>2</v>
      </c>
      <c r="K90" s="370" t="s">
        <v>311</v>
      </c>
      <c r="M90" s="1" t="str">
        <f t="shared" si="40"/>
        <v/>
      </c>
      <c r="N90" s="1" t="str">
        <f t="shared" si="41"/>
        <v/>
      </c>
      <c r="R90" s="1">
        <f t="shared" si="39"/>
        <v>0</v>
      </c>
      <c r="S90" s="1">
        <f t="shared" si="42"/>
        <v>-3</v>
      </c>
      <c r="T90" s="1">
        <f t="shared" si="38"/>
        <v>3</v>
      </c>
      <c r="V90" s="1">
        <f t="shared" si="43"/>
        <v>3</v>
      </c>
      <c r="W90" s="1" t="str">
        <f t="shared" si="44"/>
        <v>Open</v>
      </c>
      <c r="X90" s="1" t="str">
        <f t="shared" si="45"/>
        <v/>
      </c>
    </row>
    <row r="91" spans="2:24" x14ac:dyDescent="0.2">
      <c r="B91" s="3">
        <v>276</v>
      </c>
      <c r="C91" s="384">
        <v>0.53</v>
      </c>
      <c r="D91" s="4" t="s">
        <v>307</v>
      </c>
      <c r="E91" s="4" t="s">
        <v>0</v>
      </c>
      <c r="F91" s="4" t="s">
        <v>0</v>
      </c>
      <c r="G91" s="4" t="s">
        <v>4</v>
      </c>
      <c r="H91" s="4" t="s">
        <v>1</v>
      </c>
      <c r="I91" s="4"/>
      <c r="J91" s="4" t="s">
        <v>2</v>
      </c>
      <c r="K91" s="370" t="s">
        <v>311</v>
      </c>
      <c r="M91" s="1" t="str">
        <f t="shared" si="40"/>
        <v/>
      </c>
      <c r="N91" s="1" t="str">
        <f t="shared" si="41"/>
        <v/>
      </c>
      <c r="R91" s="1">
        <f t="shared" si="39"/>
        <v>1</v>
      </c>
      <c r="S91" s="1">
        <f t="shared" si="42"/>
        <v>-2</v>
      </c>
      <c r="T91" s="1">
        <f t="shared" si="38"/>
        <v>4</v>
      </c>
      <c r="V91" s="1">
        <f t="shared" si="43"/>
        <v>4</v>
      </c>
      <c r="W91" s="1" t="str">
        <f t="shared" si="44"/>
        <v>Open</v>
      </c>
      <c r="X91" s="1" t="str">
        <f t="shared" si="45"/>
        <v/>
      </c>
    </row>
    <row r="92" spans="2:24" x14ac:dyDescent="0.2">
      <c r="B92" s="3">
        <v>277</v>
      </c>
      <c r="C92" s="384">
        <v>0.53</v>
      </c>
      <c r="D92" s="4" t="s">
        <v>307</v>
      </c>
      <c r="E92" s="4" t="s">
        <v>0</v>
      </c>
      <c r="F92" s="4" t="s">
        <v>0</v>
      </c>
      <c r="G92" s="4" t="s">
        <v>5</v>
      </c>
      <c r="H92" s="4" t="s">
        <v>1</v>
      </c>
      <c r="I92" s="4"/>
      <c r="J92" s="4" t="s">
        <v>2</v>
      </c>
      <c r="K92" s="370" t="s">
        <v>311</v>
      </c>
      <c r="M92" s="1" t="str">
        <f t="shared" si="40"/>
        <v/>
      </c>
      <c r="N92" s="1" t="str">
        <f t="shared" si="41"/>
        <v/>
      </c>
      <c r="R92" s="1">
        <f t="shared" si="39"/>
        <v>2</v>
      </c>
      <c r="S92" s="1">
        <f t="shared" si="42"/>
        <v>-1</v>
      </c>
      <c r="T92" s="1">
        <f t="shared" si="38"/>
        <v>5</v>
      </c>
      <c r="V92" s="1">
        <f t="shared" si="43"/>
        <v>5</v>
      </c>
      <c r="W92" s="1" t="str">
        <f t="shared" si="44"/>
        <v>Open</v>
      </c>
      <c r="X92" s="1" t="str">
        <f t="shared" si="45"/>
        <v/>
      </c>
    </row>
    <row r="93" spans="2:24" x14ac:dyDescent="0.2">
      <c r="B93" s="3">
        <v>278</v>
      </c>
      <c r="C93" s="384">
        <v>0.53</v>
      </c>
      <c r="D93" s="4" t="s">
        <v>307</v>
      </c>
      <c r="E93" s="4" t="s">
        <v>0</v>
      </c>
      <c r="F93" s="4" t="s">
        <v>0</v>
      </c>
      <c r="G93" s="4" t="s">
        <v>3</v>
      </c>
      <c r="H93" s="4" t="s">
        <v>1</v>
      </c>
      <c r="I93" s="4"/>
      <c r="J93" s="4" t="s">
        <v>6</v>
      </c>
      <c r="K93" s="370" t="s">
        <v>311</v>
      </c>
      <c r="M93" s="1">
        <f t="shared" si="40"/>
        <v>278</v>
      </c>
      <c r="N93" s="1">
        <f t="shared" si="41"/>
        <v>3</v>
      </c>
      <c r="R93" s="1">
        <f t="shared" si="39"/>
        <v>3</v>
      </c>
      <c r="S93" s="1">
        <f t="shared" si="42"/>
        <v>0</v>
      </c>
      <c r="T93" s="1">
        <f t="shared" si="38"/>
        <v>0</v>
      </c>
      <c r="V93" s="1">
        <f t="shared" si="43"/>
        <v>0</v>
      </c>
      <c r="W93" s="1" t="str">
        <f t="shared" si="44"/>
        <v>Closed</v>
      </c>
      <c r="X93" s="1" t="str">
        <f t="shared" si="45"/>
        <v/>
      </c>
    </row>
    <row r="94" spans="2:24" x14ac:dyDescent="0.2">
      <c r="B94" s="3">
        <v>279</v>
      </c>
      <c r="C94" s="384">
        <v>0.53</v>
      </c>
      <c r="D94" s="4" t="s">
        <v>307</v>
      </c>
      <c r="E94" s="4" t="s">
        <v>0</v>
      </c>
      <c r="F94" s="4" t="s">
        <v>0</v>
      </c>
      <c r="G94" s="4" t="s">
        <v>4</v>
      </c>
      <c r="H94" s="4" t="s">
        <v>1</v>
      </c>
      <c r="I94" s="4"/>
      <c r="J94" s="4" t="s">
        <v>6</v>
      </c>
      <c r="K94" s="370" t="s">
        <v>311</v>
      </c>
      <c r="M94" s="1">
        <f t="shared" si="40"/>
        <v>279</v>
      </c>
      <c r="N94" s="1">
        <f t="shared" si="41"/>
        <v>4</v>
      </c>
      <c r="R94" s="1">
        <f t="shared" si="39"/>
        <v>4</v>
      </c>
      <c r="S94" s="1">
        <f t="shared" si="42"/>
        <v>1</v>
      </c>
      <c r="T94" s="1">
        <f t="shared" si="38"/>
        <v>1</v>
      </c>
      <c r="V94" s="1">
        <f t="shared" si="43"/>
        <v>1</v>
      </c>
      <c r="W94" s="1" t="str">
        <f t="shared" si="44"/>
        <v>Closed</v>
      </c>
      <c r="X94" s="1" t="str">
        <f t="shared" si="45"/>
        <v/>
      </c>
    </row>
    <row r="95" spans="2:24" x14ac:dyDescent="0.2">
      <c r="B95" s="3">
        <v>280</v>
      </c>
      <c r="C95" s="384">
        <v>0.53</v>
      </c>
      <c r="D95" s="4" t="s">
        <v>307</v>
      </c>
      <c r="E95" s="4" t="s">
        <v>0</v>
      </c>
      <c r="F95" s="4" t="s">
        <v>0</v>
      </c>
      <c r="G95" s="4" t="s">
        <v>5</v>
      </c>
      <c r="H95" s="4" t="s">
        <v>1</v>
      </c>
      <c r="I95" s="4"/>
      <c r="J95" s="4" t="s">
        <v>6</v>
      </c>
      <c r="K95" s="370" t="s">
        <v>311</v>
      </c>
      <c r="M95" s="1">
        <f t="shared" si="40"/>
        <v>280</v>
      </c>
      <c r="N95" s="1">
        <f t="shared" si="41"/>
        <v>5</v>
      </c>
      <c r="R95" s="1">
        <f t="shared" si="39"/>
        <v>5</v>
      </c>
      <c r="S95" s="1">
        <f t="shared" si="42"/>
        <v>2</v>
      </c>
      <c r="T95" s="1">
        <f t="shared" si="38"/>
        <v>2</v>
      </c>
      <c r="V95" s="1">
        <f t="shared" si="43"/>
        <v>2</v>
      </c>
      <c r="W95" s="1" t="str">
        <f t="shared" si="44"/>
        <v>Closed</v>
      </c>
      <c r="X95" s="1" t="str">
        <f t="shared" si="45"/>
        <v/>
      </c>
    </row>
    <row r="96" spans="2:24" x14ac:dyDescent="0.2">
      <c r="B96" s="3">
        <v>281</v>
      </c>
      <c r="C96" s="384">
        <v>0.53</v>
      </c>
      <c r="D96" s="4" t="s">
        <v>307</v>
      </c>
      <c r="E96" s="4" t="s">
        <v>0</v>
      </c>
      <c r="F96" s="4" t="s">
        <v>0</v>
      </c>
      <c r="G96" s="4" t="s">
        <v>3</v>
      </c>
      <c r="H96" s="4" t="s">
        <v>0</v>
      </c>
      <c r="I96" s="4" t="s">
        <v>3</v>
      </c>
      <c r="J96" s="4" t="s">
        <v>2</v>
      </c>
      <c r="K96" s="370" t="s">
        <v>311</v>
      </c>
      <c r="M96" s="1" t="str">
        <f t="shared" si="40"/>
        <v/>
      </c>
      <c r="N96" s="1" t="str">
        <f t="shared" si="41"/>
        <v/>
      </c>
      <c r="R96" s="1">
        <f t="shared" si="39"/>
        <v>6</v>
      </c>
      <c r="S96" s="1">
        <f t="shared" si="42"/>
        <v>3</v>
      </c>
      <c r="T96" s="1">
        <f t="shared" si="38"/>
        <v>3</v>
      </c>
      <c r="V96" s="1">
        <f t="shared" si="43"/>
        <v>3</v>
      </c>
      <c r="W96" s="1" t="str">
        <f t="shared" si="44"/>
        <v>Open</v>
      </c>
      <c r="X96" s="1" t="str">
        <f t="shared" si="45"/>
        <v/>
      </c>
    </row>
    <row r="97" spans="2:24" x14ac:dyDescent="0.2">
      <c r="B97" s="3">
        <v>282</v>
      </c>
      <c r="C97" s="384">
        <v>0.53</v>
      </c>
      <c r="D97" s="4" t="s">
        <v>307</v>
      </c>
      <c r="E97" s="4" t="s">
        <v>0</v>
      </c>
      <c r="F97" s="4" t="s">
        <v>0</v>
      </c>
      <c r="G97" s="4" t="s">
        <v>4</v>
      </c>
      <c r="H97" s="4" t="s">
        <v>0</v>
      </c>
      <c r="I97" s="4" t="s">
        <v>4</v>
      </c>
      <c r="J97" s="4" t="s">
        <v>2</v>
      </c>
      <c r="K97" s="370" t="s">
        <v>311</v>
      </c>
      <c r="M97" s="1" t="str">
        <f t="shared" si="40"/>
        <v/>
      </c>
      <c r="N97" s="1" t="str">
        <f t="shared" si="41"/>
        <v/>
      </c>
      <c r="R97" s="1">
        <f t="shared" si="39"/>
        <v>7</v>
      </c>
      <c r="S97" s="1">
        <f t="shared" si="42"/>
        <v>4</v>
      </c>
      <c r="T97" s="1">
        <f t="shared" si="38"/>
        <v>4</v>
      </c>
      <c r="V97" s="1">
        <f t="shared" si="43"/>
        <v>4</v>
      </c>
      <c r="W97" s="1" t="str">
        <f t="shared" si="44"/>
        <v>Open</v>
      </c>
      <c r="X97" s="1" t="str">
        <f t="shared" si="45"/>
        <v/>
      </c>
    </row>
    <row r="98" spans="2:24" x14ac:dyDescent="0.2">
      <c r="B98" s="3">
        <v>283</v>
      </c>
      <c r="C98" s="384">
        <v>0.53</v>
      </c>
      <c r="D98" s="4" t="s">
        <v>307</v>
      </c>
      <c r="E98" s="4" t="s">
        <v>0</v>
      </c>
      <c r="F98" s="4" t="s">
        <v>0</v>
      </c>
      <c r="G98" s="4" t="s">
        <v>5</v>
      </c>
      <c r="H98" s="4" t="s">
        <v>0</v>
      </c>
      <c r="I98" s="4" t="s">
        <v>5</v>
      </c>
      <c r="J98" s="4" t="s">
        <v>2</v>
      </c>
      <c r="K98" s="370" t="s">
        <v>311</v>
      </c>
      <c r="M98" s="1" t="str">
        <f t="shared" si="40"/>
        <v/>
      </c>
      <c r="N98" s="1" t="str">
        <f t="shared" si="41"/>
        <v/>
      </c>
      <c r="R98" s="1">
        <f t="shared" si="39"/>
        <v>8</v>
      </c>
      <c r="S98" s="1">
        <f t="shared" si="42"/>
        <v>5</v>
      </c>
      <c r="T98" s="1">
        <f t="shared" si="38"/>
        <v>5</v>
      </c>
      <c r="V98" s="1">
        <f t="shared" si="43"/>
        <v>5</v>
      </c>
      <c r="W98" s="1" t="str">
        <f t="shared" si="44"/>
        <v>Open</v>
      </c>
      <c r="X98" s="1" t="str">
        <f t="shared" si="45"/>
        <v/>
      </c>
    </row>
    <row r="99" spans="2:24" x14ac:dyDescent="0.2">
      <c r="B99" s="3">
        <v>284</v>
      </c>
      <c r="C99" s="384">
        <v>0.53</v>
      </c>
      <c r="D99" s="4" t="s">
        <v>307</v>
      </c>
      <c r="E99" s="4" t="s">
        <v>0</v>
      </c>
      <c r="F99" s="4" t="s">
        <v>0</v>
      </c>
      <c r="G99" s="4" t="s">
        <v>3</v>
      </c>
      <c r="H99" s="4" t="s">
        <v>0</v>
      </c>
      <c r="I99" s="4" t="s">
        <v>3</v>
      </c>
      <c r="J99" s="4" t="s">
        <v>6</v>
      </c>
      <c r="K99" s="370" t="s">
        <v>311</v>
      </c>
      <c r="M99" s="1">
        <f t="shared" si="40"/>
        <v>284</v>
      </c>
      <c r="N99" s="1">
        <f t="shared" si="41"/>
        <v>9</v>
      </c>
      <c r="R99" s="1">
        <f t="shared" si="39"/>
        <v>9</v>
      </c>
      <c r="S99" s="1">
        <f t="shared" si="42"/>
        <v>6</v>
      </c>
      <c r="T99" s="1">
        <f t="shared" si="38"/>
        <v>0</v>
      </c>
      <c r="V99" s="1">
        <f t="shared" si="43"/>
        <v>0</v>
      </c>
      <c r="W99" s="1" t="str">
        <f t="shared" si="44"/>
        <v>Closed</v>
      </c>
      <c r="X99" s="1" t="str">
        <f t="shared" si="45"/>
        <v/>
      </c>
    </row>
    <row r="100" spans="2:24" x14ac:dyDescent="0.2">
      <c r="B100" s="3">
        <v>285</v>
      </c>
      <c r="C100" s="384">
        <v>0.53</v>
      </c>
      <c r="D100" s="4" t="s">
        <v>307</v>
      </c>
      <c r="E100" s="4" t="s">
        <v>0</v>
      </c>
      <c r="F100" s="4" t="s">
        <v>0</v>
      </c>
      <c r="G100" s="4" t="s">
        <v>4</v>
      </c>
      <c r="H100" s="4" t="s">
        <v>0</v>
      </c>
      <c r="I100" s="4" t="s">
        <v>4</v>
      </c>
      <c r="J100" s="4" t="s">
        <v>6</v>
      </c>
      <c r="K100" s="370" t="s">
        <v>311</v>
      </c>
      <c r="M100" s="1">
        <f t="shared" si="40"/>
        <v>285</v>
      </c>
      <c r="N100" s="1">
        <f t="shared" si="41"/>
        <v>10</v>
      </c>
      <c r="R100" s="1">
        <f t="shared" si="39"/>
        <v>10</v>
      </c>
      <c r="S100" s="1">
        <f t="shared" si="42"/>
        <v>7</v>
      </c>
      <c r="T100" s="1">
        <f t="shared" si="38"/>
        <v>1</v>
      </c>
      <c r="V100" s="1">
        <f t="shared" si="43"/>
        <v>1</v>
      </c>
      <c r="W100" s="1" t="str">
        <f t="shared" si="44"/>
        <v>Closed</v>
      </c>
      <c r="X100" s="1" t="str">
        <f t="shared" si="45"/>
        <v/>
      </c>
    </row>
    <row r="101" spans="2:24" x14ac:dyDescent="0.2">
      <c r="B101" s="3">
        <v>286</v>
      </c>
      <c r="C101" s="384">
        <v>0.53</v>
      </c>
      <c r="D101" s="4" t="s">
        <v>307</v>
      </c>
      <c r="E101" s="4" t="s">
        <v>0</v>
      </c>
      <c r="F101" s="4" t="s">
        <v>0</v>
      </c>
      <c r="G101" s="4" t="s">
        <v>5</v>
      </c>
      <c r="H101" s="4" t="s">
        <v>0</v>
      </c>
      <c r="I101" s="4" t="s">
        <v>5</v>
      </c>
      <c r="J101" s="4" t="s">
        <v>6</v>
      </c>
      <c r="K101" s="370" t="s">
        <v>311</v>
      </c>
      <c r="M101" s="1">
        <f t="shared" si="40"/>
        <v>286</v>
      </c>
      <c r="N101" s="1">
        <f t="shared" si="41"/>
        <v>11</v>
      </c>
      <c r="R101" s="1">
        <f t="shared" si="39"/>
        <v>11</v>
      </c>
      <c r="S101" s="1">
        <f t="shared" si="42"/>
        <v>8</v>
      </c>
      <c r="T101" s="1">
        <f t="shared" si="38"/>
        <v>2</v>
      </c>
      <c r="V101" s="1">
        <f t="shared" si="43"/>
        <v>2</v>
      </c>
      <c r="W101" s="1" t="str">
        <f t="shared" si="44"/>
        <v>Closed</v>
      </c>
      <c r="X101" s="1" t="str">
        <f t="shared" si="45"/>
        <v/>
      </c>
    </row>
    <row r="102" spans="2:24" x14ac:dyDescent="0.2">
      <c r="B102" s="3">
        <v>287</v>
      </c>
      <c r="C102" s="384">
        <v>0.53</v>
      </c>
      <c r="D102" s="4" t="s">
        <v>308</v>
      </c>
      <c r="E102" s="4" t="s">
        <v>0</v>
      </c>
      <c r="F102" s="4" t="s">
        <v>0</v>
      </c>
      <c r="G102" s="4" t="s">
        <v>3</v>
      </c>
      <c r="H102" s="4" t="s">
        <v>1</v>
      </c>
      <c r="I102" s="4"/>
      <c r="J102" s="4" t="s">
        <v>2</v>
      </c>
      <c r="K102" s="370" t="s">
        <v>311</v>
      </c>
      <c r="M102" s="1" t="str">
        <f t="shared" si="40"/>
        <v/>
      </c>
      <c r="N102" s="1" t="str">
        <f t="shared" si="41"/>
        <v/>
      </c>
      <c r="R102" s="1">
        <f t="shared" si="39"/>
        <v>12</v>
      </c>
      <c r="S102" s="1">
        <f t="shared" si="42"/>
        <v>9</v>
      </c>
      <c r="T102" s="1">
        <f t="shared" ref="T102:T165" si="46">MOD(S102,6)</f>
        <v>3</v>
      </c>
      <c r="V102" s="1">
        <f t="shared" si="43"/>
        <v>3</v>
      </c>
      <c r="W102" s="1" t="str">
        <f t="shared" si="44"/>
        <v>Open</v>
      </c>
      <c r="X102" s="1" t="str">
        <f t="shared" si="45"/>
        <v/>
      </c>
    </row>
    <row r="103" spans="2:24" x14ac:dyDescent="0.2">
      <c r="B103" s="3">
        <v>288</v>
      </c>
      <c r="C103" s="384">
        <v>0.53</v>
      </c>
      <c r="D103" s="4" t="s">
        <v>308</v>
      </c>
      <c r="E103" s="4" t="s">
        <v>0</v>
      </c>
      <c r="F103" s="4" t="s">
        <v>0</v>
      </c>
      <c r="G103" s="4" t="s">
        <v>4</v>
      </c>
      <c r="H103" s="4" t="s">
        <v>1</v>
      </c>
      <c r="I103" s="4"/>
      <c r="J103" s="4" t="s">
        <v>2</v>
      </c>
      <c r="K103" s="370" t="s">
        <v>311</v>
      </c>
      <c r="M103" s="1" t="str">
        <f t="shared" si="40"/>
        <v/>
      </c>
      <c r="N103" s="1" t="str">
        <f t="shared" si="41"/>
        <v/>
      </c>
      <c r="R103" s="1">
        <f t="shared" si="39"/>
        <v>13</v>
      </c>
      <c r="S103" s="1">
        <f t="shared" si="42"/>
        <v>10</v>
      </c>
      <c r="T103" s="1">
        <f t="shared" si="46"/>
        <v>4</v>
      </c>
      <c r="V103" s="1">
        <f t="shared" si="43"/>
        <v>4</v>
      </c>
      <c r="W103" s="1" t="str">
        <f t="shared" si="44"/>
        <v>Open</v>
      </c>
      <c r="X103" s="1" t="str">
        <f t="shared" si="45"/>
        <v/>
      </c>
    </row>
    <row r="104" spans="2:24" x14ac:dyDescent="0.2">
      <c r="B104" s="3">
        <v>289</v>
      </c>
      <c r="C104" s="384">
        <v>0.53</v>
      </c>
      <c r="D104" s="4" t="s">
        <v>308</v>
      </c>
      <c r="E104" s="4" t="s">
        <v>0</v>
      </c>
      <c r="F104" s="4" t="s">
        <v>0</v>
      </c>
      <c r="G104" s="4" t="s">
        <v>5</v>
      </c>
      <c r="H104" s="4" t="s">
        <v>1</v>
      </c>
      <c r="I104" s="4"/>
      <c r="J104" s="4" t="s">
        <v>2</v>
      </c>
      <c r="K104" s="370" t="s">
        <v>311</v>
      </c>
      <c r="M104" s="1" t="str">
        <f t="shared" si="40"/>
        <v/>
      </c>
      <c r="N104" s="1" t="str">
        <f t="shared" si="41"/>
        <v/>
      </c>
      <c r="R104" s="1">
        <f t="shared" ref="R104:R165" si="47">MOD(B104,25)</f>
        <v>14</v>
      </c>
      <c r="S104" s="1">
        <f t="shared" si="42"/>
        <v>11</v>
      </c>
      <c r="T104" s="1">
        <f t="shared" si="46"/>
        <v>5</v>
      </c>
      <c r="V104" s="1">
        <f t="shared" si="43"/>
        <v>5</v>
      </c>
      <c r="W104" s="1" t="str">
        <f t="shared" si="44"/>
        <v>Open</v>
      </c>
      <c r="X104" s="1" t="str">
        <f t="shared" si="45"/>
        <v/>
      </c>
    </row>
    <row r="105" spans="2:24" x14ac:dyDescent="0.2">
      <c r="B105" s="3">
        <v>290</v>
      </c>
      <c r="C105" s="384">
        <v>0.53</v>
      </c>
      <c r="D105" s="4" t="s">
        <v>308</v>
      </c>
      <c r="E105" s="4" t="s">
        <v>0</v>
      </c>
      <c r="F105" s="4" t="s">
        <v>0</v>
      </c>
      <c r="G105" s="4" t="s">
        <v>3</v>
      </c>
      <c r="H105" s="4" t="s">
        <v>1</v>
      </c>
      <c r="I105" s="4"/>
      <c r="J105" s="4" t="s">
        <v>6</v>
      </c>
      <c r="K105" s="370" t="s">
        <v>311</v>
      </c>
      <c r="M105" s="1">
        <f t="shared" si="40"/>
        <v>290</v>
      </c>
      <c r="N105" s="1">
        <f t="shared" si="41"/>
        <v>15</v>
      </c>
      <c r="R105" s="1">
        <f t="shared" si="47"/>
        <v>15</v>
      </c>
      <c r="S105" s="1">
        <f t="shared" si="42"/>
        <v>12</v>
      </c>
      <c r="T105" s="1">
        <f t="shared" si="46"/>
        <v>0</v>
      </c>
      <c r="V105" s="1">
        <f t="shared" si="43"/>
        <v>0</v>
      </c>
      <c r="W105" s="1" t="str">
        <f t="shared" si="44"/>
        <v>Closed</v>
      </c>
      <c r="X105" s="1" t="str">
        <f t="shared" si="45"/>
        <v/>
      </c>
    </row>
    <row r="106" spans="2:24" x14ac:dyDescent="0.2">
      <c r="B106" s="3">
        <v>291</v>
      </c>
      <c r="C106" s="384">
        <v>0.53</v>
      </c>
      <c r="D106" s="4" t="s">
        <v>308</v>
      </c>
      <c r="E106" s="4" t="s">
        <v>0</v>
      </c>
      <c r="F106" s="4" t="s">
        <v>0</v>
      </c>
      <c r="G106" s="4" t="s">
        <v>4</v>
      </c>
      <c r="H106" s="4" t="s">
        <v>1</v>
      </c>
      <c r="I106" s="4"/>
      <c r="J106" s="4" t="s">
        <v>6</v>
      </c>
      <c r="K106" s="370" t="s">
        <v>311</v>
      </c>
      <c r="M106" s="1">
        <f t="shared" si="40"/>
        <v>291</v>
      </c>
      <c r="N106" s="1">
        <f t="shared" si="41"/>
        <v>16</v>
      </c>
      <c r="R106" s="1">
        <f t="shared" si="47"/>
        <v>16</v>
      </c>
      <c r="S106" s="1">
        <f t="shared" si="42"/>
        <v>13</v>
      </c>
      <c r="T106" s="1">
        <f t="shared" si="46"/>
        <v>1</v>
      </c>
      <c r="V106" s="1">
        <f t="shared" si="43"/>
        <v>1</v>
      </c>
      <c r="W106" s="1" t="str">
        <f t="shared" si="44"/>
        <v>Closed</v>
      </c>
      <c r="X106" s="1" t="str">
        <f t="shared" si="45"/>
        <v/>
      </c>
    </row>
    <row r="107" spans="2:24" x14ac:dyDescent="0.2">
      <c r="B107" s="3">
        <v>292</v>
      </c>
      <c r="C107" s="384">
        <v>0.53</v>
      </c>
      <c r="D107" s="4" t="s">
        <v>308</v>
      </c>
      <c r="E107" s="4" t="s">
        <v>0</v>
      </c>
      <c r="F107" s="4" t="s">
        <v>0</v>
      </c>
      <c r="G107" s="4" t="s">
        <v>5</v>
      </c>
      <c r="H107" s="4" t="s">
        <v>1</v>
      </c>
      <c r="I107" s="4"/>
      <c r="J107" s="4" t="s">
        <v>6</v>
      </c>
      <c r="K107" s="370" t="s">
        <v>311</v>
      </c>
      <c r="M107" s="1">
        <f t="shared" si="40"/>
        <v>292</v>
      </c>
      <c r="N107" s="1">
        <f t="shared" si="41"/>
        <v>17</v>
      </c>
      <c r="R107" s="1">
        <f t="shared" si="47"/>
        <v>17</v>
      </c>
      <c r="S107" s="1">
        <f t="shared" si="42"/>
        <v>14</v>
      </c>
      <c r="T107" s="1">
        <f t="shared" si="46"/>
        <v>2</v>
      </c>
      <c r="V107" s="1">
        <f t="shared" si="43"/>
        <v>2</v>
      </c>
      <c r="W107" s="1" t="str">
        <f t="shared" si="44"/>
        <v>Closed</v>
      </c>
      <c r="X107" s="1" t="str">
        <f t="shared" si="45"/>
        <v/>
      </c>
    </row>
    <row r="108" spans="2:24" x14ac:dyDescent="0.2">
      <c r="B108" s="3">
        <v>293</v>
      </c>
      <c r="C108" s="384">
        <v>0.53</v>
      </c>
      <c r="D108" s="4" t="s">
        <v>308</v>
      </c>
      <c r="E108" s="4" t="s">
        <v>0</v>
      </c>
      <c r="F108" s="4" t="s">
        <v>0</v>
      </c>
      <c r="G108" s="4" t="s">
        <v>3</v>
      </c>
      <c r="H108" s="4" t="s">
        <v>0</v>
      </c>
      <c r="I108" s="4" t="s">
        <v>3</v>
      </c>
      <c r="J108" s="4" t="s">
        <v>2</v>
      </c>
      <c r="K108" s="370" t="s">
        <v>311</v>
      </c>
      <c r="M108" s="1" t="str">
        <f t="shared" si="40"/>
        <v/>
      </c>
      <c r="N108" s="1" t="str">
        <f t="shared" si="41"/>
        <v/>
      </c>
      <c r="R108" s="1">
        <f t="shared" si="47"/>
        <v>18</v>
      </c>
      <c r="S108" s="1">
        <f t="shared" si="42"/>
        <v>15</v>
      </c>
      <c r="T108" s="1">
        <f t="shared" si="46"/>
        <v>3</v>
      </c>
      <c r="V108" s="1">
        <f t="shared" si="43"/>
        <v>3</v>
      </c>
      <c r="W108" s="1" t="str">
        <f t="shared" si="44"/>
        <v>Open</v>
      </c>
      <c r="X108" s="1" t="str">
        <f t="shared" si="45"/>
        <v/>
      </c>
    </row>
    <row r="109" spans="2:24" x14ac:dyDescent="0.2">
      <c r="B109" s="3">
        <v>294</v>
      </c>
      <c r="C109" s="384">
        <v>0.53</v>
      </c>
      <c r="D109" s="4" t="s">
        <v>308</v>
      </c>
      <c r="E109" s="4" t="s">
        <v>0</v>
      </c>
      <c r="F109" s="4" t="s">
        <v>0</v>
      </c>
      <c r="G109" s="4" t="s">
        <v>4</v>
      </c>
      <c r="H109" s="4" t="s">
        <v>0</v>
      </c>
      <c r="I109" s="4" t="s">
        <v>4</v>
      </c>
      <c r="J109" s="4" t="s">
        <v>2</v>
      </c>
      <c r="K109" s="370" t="s">
        <v>311</v>
      </c>
      <c r="M109" s="1" t="str">
        <f t="shared" si="40"/>
        <v/>
      </c>
      <c r="N109" s="1" t="str">
        <f t="shared" si="41"/>
        <v/>
      </c>
      <c r="R109" s="1">
        <f t="shared" si="47"/>
        <v>19</v>
      </c>
      <c r="S109" s="1">
        <f t="shared" si="42"/>
        <v>16</v>
      </c>
      <c r="T109" s="1">
        <f t="shared" si="46"/>
        <v>4</v>
      </c>
      <c r="V109" s="1">
        <f t="shared" si="43"/>
        <v>4</v>
      </c>
      <c r="W109" s="1" t="str">
        <f t="shared" si="44"/>
        <v>Open</v>
      </c>
      <c r="X109" s="1" t="str">
        <f t="shared" si="45"/>
        <v/>
      </c>
    </row>
    <row r="110" spans="2:24" x14ac:dyDescent="0.2">
      <c r="B110" s="3">
        <v>295</v>
      </c>
      <c r="C110" s="384">
        <v>0.53</v>
      </c>
      <c r="D110" s="4" t="s">
        <v>308</v>
      </c>
      <c r="E110" s="4" t="s">
        <v>0</v>
      </c>
      <c r="F110" s="4" t="s">
        <v>0</v>
      </c>
      <c r="G110" s="4" t="s">
        <v>5</v>
      </c>
      <c r="H110" s="4" t="s">
        <v>0</v>
      </c>
      <c r="I110" s="4" t="s">
        <v>5</v>
      </c>
      <c r="J110" s="4" t="s">
        <v>2</v>
      </c>
      <c r="K110" s="370" t="s">
        <v>311</v>
      </c>
      <c r="M110" s="1" t="str">
        <f t="shared" si="40"/>
        <v/>
      </c>
      <c r="N110" s="1" t="str">
        <f t="shared" si="41"/>
        <v/>
      </c>
      <c r="R110" s="1">
        <f t="shared" si="47"/>
        <v>20</v>
      </c>
      <c r="S110" s="1">
        <f t="shared" si="42"/>
        <v>17</v>
      </c>
      <c r="T110" s="1">
        <f t="shared" si="46"/>
        <v>5</v>
      </c>
      <c r="V110" s="1">
        <f t="shared" si="43"/>
        <v>5</v>
      </c>
      <c r="W110" s="1" t="str">
        <f t="shared" si="44"/>
        <v>Open</v>
      </c>
      <c r="X110" s="1" t="str">
        <f t="shared" si="45"/>
        <v/>
      </c>
    </row>
    <row r="111" spans="2:24" x14ac:dyDescent="0.2">
      <c r="B111" s="3">
        <v>296</v>
      </c>
      <c r="C111" s="384">
        <v>0.53</v>
      </c>
      <c r="D111" s="4" t="s">
        <v>308</v>
      </c>
      <c r="E111" s="4" t="s">
        <v>0</v>
      </c>
      <c r="F111" s="4" t="s">
        <v>0</v>
      </c>
      <c r="G111" s="4" t="s">
        <v>3</v>
      </c>
      <c r="H111" s="4" t="s">
        <v>0</v>
      </c>
      <c r="I111" s="4" t="s">
        <v>3</v>
      </c>
      <c r="J111" s="4" t="s">
        <v>6</v>
      </c>
      <c r="K111" s="370" t="s">
        <v>311</v>
      </c>
      <c r="M111" s="1">
        <f t="shared" si="40"/>
        <v>296</v>
      </c>
      <c r="N111" s="1">
        <f t="shared" si="41"/>
        <v>21</v>
      </c>
      <c r="R111" s="1">
        <f t="shared" si="47"/>
        <v>21</v>
      </c>
      <c r="S111" s="1">
        <f t="shared" si="42"/>
        <v>18</v>
      </c>
      <c r="T111" s="1">
        <f t="shared" si="46"/>
        <v>0</v>
      </c>
      <c r="V111" s="1">
        <f t="shared" si="43"/>
        <v>0</v>
      </c>
      <c r="W111" s="1" t="str">
        <f t="shared" si="44"/>
        <v>Closed</v>
      </c>
      <c r="X111" s="1" t="str">
        <f t="shared" si="45"/>
        <v/>
      </c>
    </row>
    <row r="112" spans="2:24" x14ac:dyDescent="0.2">
      <c r="B112" s="3">
        <v>297</v>
      </c>
      <c r="C112" s="384">
        <v>0.53</v>
      </c>
      <c r="D112" s="4" t="s">
        <v>308</v>
      </c>
      <c r="E112" s="4" t="s">
        <v>0</v>
      </c>
      <c r="F112" s="4" t="s">
        <v>0</v>
      </c>
      <c r="G112" s="4" t="s">
        <v>4</v>
      </c>
      <c r="H112" s="4" t="s">
        <v>0</v>
      </c>
      <c r="I112" s="4" t="s">
        <v>4</v>
      </c>
      <c r="J112" s="4" t="s">
        <v>6</v>
      </c>
      <c r="K112" s="370" t="s">
        <v>311</v>
      </c>
      <c r="M112" s="1">
        <f t="shared" si="40"/>
        <v>297</v>
      </c>
      <c r="N112" s="1">
        <f t="shared" si="41"/>
        <v>22</v>
      </c>
      <c r="R112" s="1">
        <f t="shared" si="47"/>
        <v>22</v>
      </c>
      <c r="S112" s="1">
        <f t="shared" si="42"/>
        <v>19</v>
      </c>
      <c r="T112" s="1">
        <f t="shared" si="46"/>
        <v>1</v>
      </c>
      <c r="V112" s="1">
        <f t="shared" si="43"/>
        <v>1</v>
      </c>
      <c r="W112" s="1" t="str">
        <f t="shared" si="44"/>
        <v>Closed</v>
      </c>
      <c r="X112" s="1" t="str">
        <f t="shared" si="45"/>
        <v/>
      </c>
    </row>
    <row r="113" spans="2:24" x14ac:dyDescent="0.2">
      <c r="B113" s="3">
        <v>298</v>
      </c>
      <c r="C113" s="384">
        <v>0.53</v>
      </c>
      <c r="D113" s="4" t="s">
        <v>308</v>
      </c>
      <c r="E113" s="4" t="s">
        <v>0</v>
      </c>
      <c r="F113" s="4" t="s">
        <v>0</v>
      </c>
      <c r="G113" s="4" t="s">
        <v>5</v>
      </c>
      <c r="H113" s="4" t="s">
        <v>0</v>
      </c>
      <c r="I113" s="4" t="s">
        <v>5</v>
      </c>
      <c r="J113" s="4" t="s">
        <v>6</v>
      </c>
      <c r="K113" s="370" t="s">
        <v>311</v>
      </c>
      <c r="M113" s="1">
        <f t="shared" si="40"/>
        <v>298</v>
      </c>
      <c r="N113" s="1">
        <f t="shared" si="41"/>
        <v>23</v>
      </c>
      <c r="R113" s="1">
        <f t="shared" si="47"/>
        <v>23</v>
      </c>
      <c r="S113" s="1">
        <f t="shared" si="42"/>
        <v>20</v>
      </c>
      <c r="T113" s="1">
        <f t="shared" si="46"/>
        <v>2</v>
      </c>
      <c r="V113" s="1">
        <f t="shared" si="43"/>
        <v>2</v>
      </c>
      <c r="W113" s="1" t="str">
        <f t="shared" si="44"/>
        <v>Closed</v>
      </c>
      <c r="X113" s="1" t="str">
        <f t="shared" si="45"/>
        <v/>
      </c>
    </row>
    <row r="114" spans="2:24" x14ac:dyDescent="0.2">
      <c r="B114" s="3"/>
      <c r="C114" s="4"/>
      <c r="D114" s="4"/>
      <c r="E114" s="384"/>
      <c r="F114" s="4"/>
      <c r="G114" s="4"/>
      <c r="H114" s="4"/>
      <c r="I114" s="4"/>
      <c r="J114" s="4"/>
      <c r="K114" s="370"/>
      <c r="R114" s="1">
        <f t="shared" si="47"/>
        <v>0</v>
      </c>
      <c r="S114" s="1">
        <f t="shared" si="42"/>
        <v>-3</v>
      </c>
      <c r="T114" s="1">
        <f t="shared" si="46"/>
        <v>3</v>
      </c>
    </row>
    <row r="115" spans="2:24" x14ac:dyDescent="0.2">
      <c r="B115" s="3">
        <v>300</v>
      </c>
      <c r="C115" s="384">
        <v>15.67</v>
      </c>
      <c r="D115" s="4" t="s">
        <v>307</v>
      </c>
      <c r="E115" s="4" t="s">
        <v>0</v>
      </c>
      <c r="F115" s="4" t="s">
        <v>0</v>
      </c>
      <c r="G115" s="4" t="s">
        <v>3</v>
      </c>
      <c r="H115" s="4" t="s">
        <v>1</v>
      </c>
      <c r="I115" s="4"/>
      <c r="J115" s="4" t="s">
        <v>16</v>
      </c>
      <c r="K115" s="371">
        <v>0.5</v>
      </c>
      <c r="R115" s="1">
        <f t="shared" si="47"/>
        <v>0</v>
      </c>
      <c r="S115" s="1">
        <f t="shared" si="42"/>
        <v>-3</v>
      </c>
      <c r="T115" s="1">
        <f t="shared" si="46"/>
        <v>3</v>
      </c>
    </row>
    <row r="116" spans="2:24" x14ac:dyDescent="0.2">
      <c r="B116" s="3">
        <v>301</v>
      </c>
      <c r="C116" s="4">
        <v>15.67</v>
      </c>
      <c r="D116" s="4" t="s">
        <v>307</v>
      </c>
      <c r="E116" s="4" t="s">
        <v>0</v>
      </c>
      <c r="F116" s="4" t="s">
        <v>0</v>
      </c>
      <c r="G116" s="4" t="s">
        <v>4</v>
      </c>
      <c r="H116" s="4" t="s">
        <v>1</v>
      </c>
      <c r="I116" s="4"/>
      <c r="J116" s="4" t="s">
        <v>16</v>
      </c>
      <c r="K116" s="371">
        <v>0.5</v>
      </c>
      <c r="R116" s="1">
        <f t="shared" si="47"/>
        <v>1</v>
      </c>
      <c r="S116" s="1">
        <f t="shared" si="42"/>
        <v>-2</v>
      </c>
      <c r="T116" s="1">
        <f t="shared" si="46"/>
        <v>4</v>
      </c>
    </row>
    <row r="117" spans="2:24" x14ac:dyDescent="0.2">
      <c r="B117" s="3">
        <v>302</v>
      </c>
      <c r="C117" s="4">
        <v>15.67</v>
      </c>
      <c r="D117" s="4" t="s">
        <v>307</v>
      </c>
      <c r="E117" s="4" t="s">
        <v>0</v>
      </c>
      <c r="F117" s="4" t="s">
        <v>0</v>
      </c>
      <c r="G117" s="4" t="s">
        <v>5</v>
      </c>
      <c r="H117" s="4" t="s">
        <v>1</v>
      </c>
      <c r="I117" s="4"/>
      <c r="J117" s="4" t="s">
        <v>16</v>
      </c>
      <c r="K117" s="371">
        <v>0.5</v>
      </c>
      <c r="R117" s="1">
        <f t="shared" si="47"/>
        <v>2</v>
      </c>
      <c r="S117" s="1">
        <f t="shared" si="42"/>
        <v>-1</v>
      </c>
      <c r="T117" s="1">
        <f t="shared" si="46"/>
        <v>5</v>
      </c>
    </row>
    <row r="118" spans="2:24" x14ac:dyDescent="0.2">
      <c r="B118" s="3">
        <v>303</v>
      </c>
      <c r="C118" s="4">
        <v>15.67</v>
      </c>
      <c r="D118" s="4" t="s">
        <v>307</v>
      </c>
      <c r="E118" s="4" t="s">
        <v>0</v>
      </c>
      <c r="F118" s="4" t="s">
        <v>0</v>
      </c>
      <c r="G118" s="4" t="s">
        <v>3</v>
      </c>
      <c r="H118" s="4" t="s">
        <v>0</v>
      </c>
      <c r="I118" s="4" t="s">
        <v>3</v>
      </c>
      <c r="J118" s="4" t="s">
        <v>16</v>
      </c>
      <c r="K118" s="371">
        <v>0.5</v>
      </c>
      <c r="R118" s="1">
        <f t="shared" si="47"/>
        <v>3</v>
      </c>
      <c r="S118" s="1">
        <f t="shared" si="42"/>
        <v>0</v>
      </c>
      <c r="T118" s="1">
        <f t="shared" si="46"/>
        <v>0</v>
      </c>
    </row>
    <row r="119" spans="2:24" x14ac:dyDescent="0.2">
      <c r="B119" s="3">
        <v>304</v>
      </c>
      <c r="C119" s="4">
        <v>15.67</v>
      </c>
      <c r="D119" s="4" t="s">
        <v>307</v>
      </c>
      <c r="E119" s="4" t="s">
        <v>0</v>
      </c>
      <c r="F119" s="4" t="s">
        <v>0</v>
      </c>
      <c r="G119" s="4" t="s">
        <v>4</v>
      </c>
      <c r="H119" s="4" t="s">
        <v>0</v>
      </c>
      <c r="I119" s="4" t="s">
        <v>4</v>
      </c>
      <c r="J119" s="4" t="s">
        <v>16</v>
      </c>
      <c r="K119" s="371">
        <v>0.5</v>
      </c>
      <c r="R119" s="1">
        <f t="shared" si="47"/>
        <v>4</v>
      </c>
      <c r="S119" s="1">
        <f t="shared" si="42"/>
        <v>1</v>
      </c>
      <c r="T119" s="1">
        <f t="shared" si="46"/>
        <v>1</v>
      </c>
    </row>
    <row r="120" spans="2:24" x14ac:dyDescent="0.2">
      <c r="B120" s="3">
        <v>305</v>
      </c>
      <c r="C120" s="4">
        <v>15.67</v>
      </c>
      <c r="D120" s="4" t="s">
        <v>307</v>
      </c>
      <c r="E120" s="4" t="s">
        <v>0</v>
      </c>
      <c r="F120" s="4" t="s">
        <v>0</v>
      </c>
      <c r="G120" s="4" t="s">
        <v>5</v>
      </c>
      <c r="H120" s="4" t="s">
        <v>0</v>
      </c>
      <c r="I120" s="4" t="s">
        <v>5</v>
      </c>
      <c r="J120" s="4" t="s">
        <v>16</v>
      </c>
      <c r="K120" s="371">
        <v>0.5</v>
      </c>
      <c r="R120" s="1">
        <f t="shared" si="47"/>
        <v>5</v>
      </c>
      <c r="S120" s="1">
        <f t="shared" si="42"/>
        <v>2</v>
      </c>
      <c r="T120" s="1">
        <f t="shared" si="46"/>
        <v>2</v>
      </c>
    </row>
    <row r="121" spans="2:24" x14ac:dyDescent="0.2">
      <c r="B121" s="3">
        <v>306</v>
      </c>
      <c r="C121" s="4">
        <v>15.67</v>
      </c>
      <c r="D121" s="4" t="s">
        <v>308</v>
      </c>
      <c r="E121" s="4" t="s">
        <v>0</v>
      </c>
      <c r="F121" s="4" t="s">
        <v>0</v>
      </c>
      <c r="G121" s="4" t="s">
        <v>3</v>
      </c>
      <c r="H121" s="4" t="s">
        <v>1</v>
      </c>
      <c r="I121" s="4"/>
      <c r="J121" s="4" t="s">
        <v>16</v>
      </c>
      <c r="K121" s="371">
        <v>0.5</v>
      </c>
      <c r="R121" s="1">
        <f t="shared" si="47"/>
        <v>6</v>
      </c>
      <c r="S121" s="1">
        <f t="shared" si="42"/>
        <v>3</v>
      </c>
      <c r="T121" s="1">
        <f t="shared" si="46"/>
        <v>3</v>
      </c>
    </row>
    <row r="122" spans="2:24" x14ac:dyDescent="0.2">
      <c r="B122" s="3">
        <v>307</v>
      </c>
      <c r="C122" s="4">
        <v>15.67</v>
      </c>
      <c r="D122" s="4" t="s">
        <v>308</v>
      </c>
      <c r="E122" s="4" t="s">
        <v>0</v>
      </c>
      <c r="F122" s="4" t="s">
        <v>0</v>
      </c>
      <c r="G122" s="4" t="s">
        <v>4</v>
      </c>
      <c r="H122" s="4" t="s">
        <v>1</v>
      </c>
      <c r="I122" s="4"/>
      <c r="J122" s="4" t="s">
        <v>16</v>
      </c>
      <c r="K122" s="371">
        <v>0.5</v>
      </c>
      <c r="R122" s="1">
        <f t="shared" si="47"/>
        <v>7</v>
      </c>
      <c r="S122" s="1">
        <f t="shared" si="42"/>
        <v>4</v>
      </c>
      <c r="T122" s="1">
        <f t="shared" si="46"/>
        <v>4</v>
      </c>
    </row>
    <row r="123" spans="2:24" x14ac:dyDescent="0.2">
      <c r="B123" s="3">
        <v>308</v>
      </c>
      <c r="C123" s="4">
        <v>15.67</v>
      </c>
      <c r="D123" s="4" t="s">
        <v>308</v>
      </c>
      <c r="E123" s="4" t="s">
        <v>0</v>
      </c>
      <c r="F123" s="4" t="s">
        <v>0</v>
      </c>
      <c r="G123" s="4" t="s">
        <v>5</v>
      </c>
      <c r="H123" s="4" t="s">
        <v>1</v>
      </c>
      <c r="I123" s="4"/>
      <c r="J123" s="4" t="s">
        <v>16</v>
      </c>
      <c r="K123" s="371">
        <v>0.5</v>
      </c>
      <c r="R123" s="1">
        <f t="shared" si="47"/>
        <v>8</v>
      </c>
      <c r="S123" s="1">
        <f t="shared" si="42"/>
        <v>5</v>
      </c>
      <c r="T123" s="1">
        <f t="shared" si="46"/>
        <v>5</v>
      </c>
    </row>
    <row r="124" spans="2:24" x14ac:dyDescent="0.2">
      <c r="B124" s="3">
        <v>309</v>
      </c>
      <c r="C124" s="4">
        <v>15.67</v>
      </c>
      <c r="D124" s="4" t="s">
        <v>308</v>
      </c>
      <c r="E124" s="4" t="s">
        <v>0</v>
      </c>
      <c r="F124" s="4" t="s">
        <v>0</v>
      </c>
      <c r="G124" s="4" t="s">
        <v>3</v>
      </c>
      <c r="H124" s="4" t="s">
        <v>0</v>
      </c>
      <c r="I124" s="4" t="s">
        <v>3</v>
      </c>
      <c r="J124" s="4" t="s">
        <v>16</v>
      </c>
      <c r="K124" s="371">
        <v>0.5</v>
      </c>
      <c r="R124" s="1">
        <f t="shared" si="47"/>
        <v>9</v>
      </c>
      <c r="S124" s="1">
        <f t="shared" si="42"/>
        <v>6</v>
      </c>
      <c r="T124" s="1">
        <f t="shared" si="46"/>
        <v>0</v>
      </c>
    </row>
    <row r="125" spans="2:24" x14ac:dyDescent="0.2">
      <c r="B125" s="3">
        <v>310</v>
      </c>
      <c r="C125" s="4">
        <v>15.67</v>
      </c>
      <c r="D125" s="4" t="s">
        <v>308</v>
      </c>
      <c r="E125" s="4" t="s">
        <v>0</v>
      </c>
      <c r="F125" s="4" t="s">
        <v>0</v>
      </c>
      <c r="G125" s="4" t="s">
        <v>4</v>
      </c>
      <c r="H125" s="4" t="s">
        <v>0</v>
      </c>
      <c r="I125" s="4" t="s">
        <v>4</v>
      </c>
      <c r="J125" s="4" t="s">
        <v>16</v>
      </c>
      <c r="K125" s="371">
        <v>0.5</v>
      </c>
      <c r="R125" s="1">
        <f t="shared" si="47"/>
        <v>10</v>
      </c>
      <c r="S125" s="1">
        <f t="shared" si="42"/>
        <v>7</v>
      </c>
      <c r="T125" s="1">
        <f t="shared" si="46"/>
        <v>1</v>
      </c>
    </row>
    <row r="126" spans="2:24" x14ac:dyDescent="0.2">
      <c r="B126" s="3">
        <v>311</v>
      </c>
      <c r="C126" s="4">
        <v>15.67</v>
      </c>
      <c r="D126" s="4" t="s">
        <v>308</v>
      </c>
      <c r="E126" s="4" t="s">
        <v>0</v>
      </c>
      <c r="F126" s="4" t="s">
        <v>0</v>
      </c>
      <c r="G126" s="4" t="s">
        <v>5</v>
      </c>
      <c r="H126" s="4" t="s">
        <v>0</v>
      </c>
      <c r="I126" s="4" t="s">
        <v>5</v>
      </c>
      <c r="J126" s="4" t="s">
        <v>16</v>
      </c>
      <c r="K126" s="371">
        <v>0.5</v>
      </c>
      <c r="R126" s="1">
        <f t="shared" si="47"/>
        <v>11</v>
      </c>
      <c r="S126" s="1">
        <f t="shared" si="42"/>
        <v>8</v>
      </c>
      <c r="T126" s="1">
        <f t="shared" si="46"/>
        <v>2</v>
      </c>
    </row>
    <row r="127" spans="2:24" x14ac:dyDescent="0.2">
      <c r="B127" s="3"/>
      <c r="C127" s="4"/>
      <c r="D127" s="4"/>
      <c r="E127" s="4"/>
      <c r="F127" s="4"/>
      <c r="G127" s="4"/>
      <c r="H127" s="4"/>
      <c r="I127" s="4"/>
      <c r="J127" s="4"/>
      <c r="K127" s="371"/>
      <c r="R127" s="1">
        <f t="shared" si="47"/>
        <v>0</v>
      </c>
      <c r="S127" s="1">
        <f t="shared" si="42"/>
        <v>-3</v>
      </c>
      <c r="T127" s="1">
        <f t="shared" si="46"/>
        <v>3</v>
      </c>
    </row>
    <row r="128" spans="2:24" x14ac:dyDescent="0.2">
      <c r="B128" s="3">
        <v>312</v>
      </c>
      <c r="C128" s="384">
        <v>2.85</v>
      </c>
      <c r="D128" s="4" t="s">
        <v>307</v>
      </c>
      <c r="E128" s="4" t="s">
        <v>0</v>
      </c>
      <c r="F128" s="4" t="s">
        <v>0</v>
      </c>
      <c r="G128" s="4" t="s">
        <v>3</v>
      </c>
      <c r="H128" s="4" t="s">
        <v>1</v>
      </c>
      <c r="I128" s="4"/>
      <c r="J128" s="4" t="s">
        <v>16</v>
      </c>
      <c r="K128" s="371">
        <v>0.5</v>
      </c>
      <c r="R128" s="1">
        <f t="shared" si="47"/>
        <v>12</v>
      </c>
      <c r="S128" s="1">
        <f t="shared" si="42"/>
        <v>9</v>
      </c>
      <c r="T128" s="1">
        <f t="shared" si="46"/>
        <v>3</v>
      </c>
    </row>
    <row r="129" spans="2:20" x14ac:dyDescent="0.2">
      <c r="B129" s="3">
        <v>313</v>
      </c>
      <c r="C129" s="384">
        <v>2.85</v>
      </c>
      <c r="D129" s="4" t="s">
        <v>307</v>
      </c>
      <c r="E129" s="4" t="s">
        <v>0</v>
      </c>
      <c r="F129" s="4" t="s">
        <v>0</v>
      </c>
      <c r="G129" s="4" t="s">
        <v>4</v>
      </c>
      <c r="H129" s="4" t="s">
        <v>1</v>
      </c>
      <c r="I129" s="4"/>
      <c r="J129" s="4" t="s">
        <v>16</v>
      </c>
      <c r="K129" s="371">
        <v>0.5</v>
      </c>
      <c r="R129" s="1">
        <f t="shared" si="47"/>
        <v>13</v>
      </c>
      <c r="S129" s="1">
        <f t="shared" si="42"/>
        <v>10</v>
      </c>
      <c r="T129" s="1">
        <f t="shared" si="46"/>
        <v>4</v>
      </c>
    </row>
    <row r="130" spans="2:20" x14ac:dyDescent="0.2">
      <c r="B130" s="3">
        <v>314</v>
      </c>
      <c r="C130" s="384">
        <v>2.85</v>
      </c>
      <c r="D130" s="4" t="s">
        <v>307</v>
      </c>
      <c r="E130" s="4" t="s">
        <v>0</v>
      </c>
      <c r="F130" s="4" t="s">
        <v>0</v>
      </c>
      <c r="G130" s="4" t="s">
        <v>5</v>
      </c>
      <c r="H130" s="4" t="s">
        <v>1</v>
      </c>
      <c r="I130" s="4"/>
      <c r="J130" s="4" t="s">
        <v>16</v>
      </c>
      <c r="K130" s="371">
        <v>0.5</v>
      </c>
      <c r="R130" s="1">
        <f t="shared" si="47"/>
        <v>14</v>
      </c>
      <c r="S130" s="1">
        <f t="shared" si="42"/>
        <v>11</v>
      </c>
      <c r="T130" s="1">
        <f t="shared" si="46"/>
        <v>5</v>
      </c>
    </row>
    <row r="131" spans="2:20" x14ac:dyDescent="0.2">
      <c r="B131" s="3">
        <v>315</v>
      </c>
      <c r="C131" s="384">
        <v>2.85</v>
      </c>
      <c r="D131" s="4" t="s">
        <v>307</v>
      </c>
      <c r="E131" s="4" t="s">
        <v>0</v>
      </c>
      <c r="F131" s="4" t="s">
        <v>0</v>
      </c>
      <c r="G131" s="4" t="s">
        <v>3</v>
      </c>
      <c r="H131" s="4" t="s">
        <v>0</v>
      </c>
      <c r="I131" s="4" t="s">
        <v>3</v>
      </c>
      <c r="J131" s="4" t="s">
        <v>16</v>
      </c>
      <c r="K131" s="371">
        <v>0.5</v>
      </c>
      <c r="R131" s="1">
        <f t="shared" si="47"/>
        <v>15</v>
      </c>
      <c r="S131" s="1">
        <f t="shared" si="42"/>
        <v>12</v>
      </c>
      <c r="T131" s="1">
        <f t="shared" si="46"/>
        <v>0</v>
      </c>
    </row>
    <row r="132" spans="2:20" x14ac:dyDescent="0.2">
      <c r="B132" s="3">
        <v>316</v>
      </c>
      <c r="C132" s="384">
        <v>2.85</v>
      </c>
      <c r="D132" s="4" t="s">
        <v>307</v>
      </c>
      <c r="E132" s="4" t="s">
        <v>0</v>
      </c>
      <c r="F132" s="4" t="s">
        <v>0</v>
      </c>
      <c r="G132" s="4" t="s">
        <v>4</v>
      </c>
      <c r="H132" s="4" t="s">
        <v>0</v>
      </c>
      <c r="I132" s="4" t="s">
        <v>4</v>
      </c>
      <c r="J132" s="4" t="s">
        <v>16</v>
      </c>
      <c r="K132" s="371">
        <v>0.5</v>
      </c>
      <c r="R132" s="1">
        <f t="shared" si="47"/>
        <v>16</v>
      </c>
      <c r="S132" s="1">
        <f t="shared" si="42"/>
        <v>13</v>
      </c>
      <c r="T132" s="1">
        <f t="shared" si="46"/>
        <v>1</v>
      </c>
    </row>
    <row r="133" spans="2:20" x14ac:dyDescent="0.2">
      <c r="B133" s="3">
        <v>317</v>
      </c>
      <c r="C133" s="384">
        <v>2.85</v>
      </c>
      <c r="D133" s="4" t="s">
        <v>307</v>
      </c>
      <c r="E133" s="4" t="s">
        <v>0</v>
      </c>
      <c r="F133" s="4" t="s">
        <v>0</v>
      </c>
      <c r="G133" s="4" t="s">
        <v>5</v>
      </c>
      <c r="H133" s="4" t="s">
        <v>0</v>
      </c>
      <c r="I133" s="4" t="s">
        <v>5</v>
      </c>
      <c r="J133" s="4" t="s">
        <v>16</v>
      </c>
      <c r="K133" s="371">
        <v>0.5</v>
      </c>
      <c r="R133" s="1">
        <f t="shared" si="47"/>
        <v>17</v>
      </c>
      <c r="S133" s="1">
        <f t="shared" si="42"/>
        <v>14</v>
      </c>
      <c r="T133" s="1">
        <f t="shared" si="46"/>
        <v>2</v>
      </c>
    </row>
    <row r="134" spans="2:20" x14ac:dyDescent="0.2">
      <c r="B134" s="3">
        <v>318</v>
      </c>
      <c r="C134" s="384">
        <v>2.85</v>
      </c>
      <c r="D134" s="4" t="s">
        <v>308</v>
      </c>
      <c r="E134" s="4" t="s">
        <v>0</v>
      </c>
      <c r="F134" s="4" t="s">
        <v>0</v>
      </c>
      <c r="G134" s="4" t="s">
        <v>3</v>
      </c>
      <c r="H134" s="4" t="s">
        <v>1</v>
      </c>
      <c r="I134" s="4"/>
      <c r="J134" s="4" t="s">
        <v>16</v>
      </c>
      <c r="K134" s="371">
        <v>0.5</v>
      </c>
      <c r="R134" s="1">
        <f t="shared" si="47"/>
        <v>18</v>
      </c>
      <c r="S134" s="1">
        <f t="shared" si="42"/>
        <v>15</v>
      </c>
      <c r="T134" s="1">
        <f t="shared" si="46"/>
        <v>3</v>
      </c>
    </row>
    <row r="135" spans="2:20" x14ac:dyDescent="0.2">
      <c r="B135" s="3">
        <v>319</v>
      </c>
      <c r="C135" s="384">
        <v>2.85</v>
      </c>
      <c r="D135" s="4" t="s">
        <v>308</v>
      </c>
      <c r="E135" s="4" t="s">
        <v>0</v>
      </c>
      <c r="F135" s="4" t="s">
        <v>0</v>
      </c>
      <c r="G135" s="4" t="s">
        <v>4</v>
      </c>
      <c r="H135" s="4" t="s">
        <v>1</v>
      </c>
      <c r="I135" s="4"/>
      <c r="J135" s="4" t="s">
        <v>16</v>
      </c>
      <c r="K135" s="371">
        <v>0.5</v>
      </c>
      <c r="R135" s="1">
        <f t="shared" si="47"/>
        <v>19</v>
      </c>
      <c r="S135" s="1">
        <f t="shared" si="42"/>
        <v>16</v>
      </c>
      <c r="T135" s="1">
        <f t="shared" si="46"/>
        <v>4</v>
      </c>
    </row>
    <row r="136" spans="2:20" x14ac:dyDescent="0.2">
      <c r="B136" s="3">
        <v>320</v>
      </c>
      <c r="C136" s="384">
        <v>2.85</v>
      </c>
      <c r="D136" s="4" t="s">
        <v>308</v>
      </c>
      <c r="E136" s="4" t="s">
        <v>0</v>
      </c>
      <c r="F136" s="4" t="s">
        <v>0</v>
      </c>
      <c r="G136" s="4" t="s">
        <v>5</v>
      </c>
      <c r="H136" s="4" t="s">
        <v>1</v>
      </c>
      <c r="I136" s="4"/>
      <c r="J136" s="4" t="s">
        <v>16</v>
      </c>
      <c r="K136" s="371">
        <v>0.5</v>
      </c>
      <c r="R136" s="1">
        <f t="shared" si="47"/>
        <v>20</v>
      </c>
      <c r="S136" s="1">
        <f t="shared" si="42"/>
        <v>17</v>
      </c>
      <c r="T136" s="1">
        <f t="shared" si="46"/>
        <v>5</v>
      </c>
    </row>
    <row r="137" spans="2:20" x14ac:dyDescent="0.2">
      <c r="B137" s="3">
        <v>321</v>
      </c>
      <c r="C137" s="384">
        <v>2.85</v>
      </c>
      <c r="D137" s="4" t="s">
        <v>308</v>
      </c>
      <c r="E137" s="4" t="s">
        <v>0</v>
      </c>
      <c r="F137" s="4" t="s">
        <v>0</v>
      </c>
      <c r="G137" s="4" t="s">
        <v>3</v>
      </c>
      <c r="H137" s="4" t="s">
        <v>0</v>
      </c>
      <c r="I137" s="4" t="s">
        <v>3</v>
      </c>
      <c r="J137" s="4" t="s">
        <v>16</v>
      </c>
      <c r="K137" s="371">
        <v>0.5</v>
      </c>
      <c r="R137" s="1">
        <f t="shared" si="47"/>
        <v>21</v>
      </c>
      <c r="S137" s="1">
        <f t="shared" si="42"/>
        <v>18</v>
      </c>
      <c r="T137" s="1">
        <f t="shared" si="46"/>
        <v>0</v>
      </c>
    </row>
    <row r="138" spans="2:20" x14ac:dyDescent="0.2">
      <c r="B138" s="3">
        <v>322</v>
      </c>
      <c r="C138" s="384">
        <v>2.85</v>
      </c>
      <c r="D138" s="4" t="s">
        <v>308</v>
      </c>
      <c r="E138" s="4" t="s">
        <v>0</v>
      </c>
      <c r="F138" s="4" t="s">
        <v>0</v>
      </c>
      <c r="G138" s="4" t="s">
        <v>4</v>
      </c>
      <c r="H138" s="4" t="s">
        <v>0</v>
      </c>
      <c r="I138" s="4" t="s">
        <v>4</v>
      </c>
      <c r="J138" s="4" t="s">
        <v>16</v>
      </c>
      <c r="K138" s="371">
        <v>0.5</v>
      </c>
      <c r="R138" s="1">
        <f t="shared" si="47"/>
        <v>22</v>
      </c>
      <c r="S138" s="1">
        <f t="shared" si="42"/>
        <v>19</v>
      </c>
      <c r="T138" s="1">
        <f t="shared" si="46"/>
        <v>1</v>
      </c>
    </row>
    <row r="139" spans="2:20" x14ac:dyDescent="0.2">
      <c r="B139" s="3">
        <v>323</v>
      </c>
      <c r="C139" s="384">
        <v>2.85</v>
      </c>
      <c r="D139" s="4" t="s">
        <v>308</v>
      </c>
      <c r="E139" s="4" t="s">
        <v>0</v>
      </c>
      <c r="F139" s="4" t="s">
        <v>0</v>
      </c>
      <c r="G139" s="4" t="s">
        <v>5</v>
      </c>
      <c r="H139" s="4" t="s">
        <v>0</v>
      </c>
      <c r="I139" s="4" t="s">
        <v>5</v>
      </c>
      <c r="J139" s="4" t="s">
        <v>16</v>
      </c>
      <c r="K139" s="371">
        <v>0.5</v>
      </c>
      <c r="R139" s="1">
        <f t="shared" si="47"/>
        <v>23</v>
      </c>
      <c r="S139" s="1">
        <f t="shared" si="42"/>
        <v>20</v>
      </c>
      <c r="T139" s="1">
        <f t="shared" si="46"/>
        <v>2</v>
      </c>
    </row>
    <row r="140" spans="2:20" x14ac:dyDescent="0.2">
      <c r="B140" s="3"/>
      <c r="C140" s="4"/>
      <c r="D140" s="4"/>
      <c r="E140" s="384"/>
      <c r="F140" s="4"/>
      <c r="G140" s="4"/>
      <c r="H140" s="4"/>
      <c r="I140" s="4"/>
      <c r="J140" s="4"/>
      <c r="K140" s="371"/>
      <c r="R140" s="1">
        <f t="shared" si="47"/>
        <v>0</v>
      </c>
      <c r="S140" s="1">
        <f t="shared" si="42"/>
        <v>-3</v>
      </c>
      <c r="T140" s="1">
        <f t="shared" si="46"/>
        <v>3</v>
      </c>
    </row>
    <row r="141" spans="2:20" x14ac:dyDescent="0.2">
      <c r="B141" s="3">
        <v>324</v>
      </c>
      <c r="C141" s="384">
        <v>1</v>
      </c>
      <c r="D141" s="4" t="s">
        <v>307</v>
      </c>
      <c r="E141" s="4" t="s">
        <v>0</v>
      </c>
      <c r="F141" s="4" t="s">
        <v>0</v>
      </c>
      <c r="G141" s="4" t="s">
        <v>3</v>
      </c>
      <c r="H141" s="4" t="s">
        <v>1</v>
      </c>
      <c r="I141" s="4"/>
      <c r="J141" s="4" t="s">
        <v>16</v>
      </c>
      <c r="K141" s="371">
        <v>0.5</v>
      </c>
      <c r="R141" s="1">
        <f t="shared" si="47"/>
        <v>24</v>
      </c>
      <c r="S141" s="1">
        <f t="shared" si="42"/>
        <v>21</v>
      </c>
      <c r="T141" s="1">
        <f t="shared" si="46"/>
        <v>3</v>
      </c>
    </row>
    <row r="142" spans="2:20" x14ac:dyDescent="0.2">
      <c r="B142" s="3">
        <v>325</v>
      </c>
      <c r="C142" s="384">
        <v>1</v>
      </c>
      <c r="D142" s="4" t="s">
        <v>307</v>
      </c>
      <c r="E142" s="4" t="s">
        <v>0</v>
      </c>
      <c r="F142" s="4" t="s">
        <v>0</v>
      </c>
      <c r="G142" s="4" t="s">
        <v>4</v>
      </c>
      <c r="H142" s="4" t="s">
        <v>1</v>
      </c>
      <c r="I142" s="4"/>
      <c r="J142" s="4" t="s">
        <v>16</v>
      </c>
      <c r="K142" s="371">
        <v>0.5</v>
      </c>
      <c r="R142" s="1">
        <f t="shared" si="47"/>
        <v>0</v>
      </c>
      <c r="S142" s="1">
        <f t="shared" si="42"/>
        <v>-3</v>
      </c>
      <c r="T142" s="1">
        <f t="shared" si="46"/>
        <v>3</v>
      </c>
    </row>
    <row r="143" spans="2:20" x14ac:dyDescent="0.2">
      <c r="B143" s="3">
        <v>326</v>
      </c>
      <c r="C143" s="384">
        <v>1</v>
      </c>
      <c r="D143" s="4" t="s">
        <v>307</v>
      </c>
      <c r="E143" s="4" t="s">
        <v>0</v>
      </c>
      <c r="F143" s="4" t="s">
        <v>0</v>
      </c>
      <c r="G143" s="4" t="s">
        <v>5</v>
      </c>
      <c r="H143" s="4" t="s">
        <v>1</v>
      </c>
      <c r="I143" s="4"/>
      <c r="J143" s="4" t="s">
        <v>16</v>
      </c>
      <c r="K143" s="371">
        <v>0.5</v>
      </c>
      <c r="R143" s="1">
        <f t="shared" si="47"/>
        <v>1</v>
      </c>
      <c r="S143" s="1">
        <f t="shared" si="42"/>
        <v>-2</v>
      </c>
      <c r="T143" s="1">
        <f t="shared" si="46"/>
        <v>4</v>
      </c>
    </row>
    <row r="144" spans="2:20" x14ac:dyDescent="0.2">
      <c r="B144" s="3">
        <v>327</v>
      </c>
      <c r="C144" s="384">
        <v>1</v>
      </c>
      <c r="D144" s="4" t="s">
        <v>307</v>
      </c>
      <c r="E144" s="4" t="s">
        <v>0</v>
      </c>
      <c r="F144" s="4" t="s">
        <v>0</v>
      </c>
      <c r="G144" s="4" t="s">
        <v>3</v>
      </c>
      <c r="H144" s="4" t="s">
        <v>0</v>
      </c>
      <c r="I144" s="4" t="s">
        <v>3</v>
      </c>
      <c r="J144" s="4" t="s">
        <v>16</v>
      </c>
      <c r="K144" s="371">
        <v>0.5</v>
      </c>
      <c r="R144" s="1">
        <f t="shared" si="47"/>
        <v>2</v>
      </c>
      <c r="S144" s="1">
        <f t="shared" ref="S144:S165" si="48">R144-3</f>
        <v>-1</v>
      </c>
      <c r="T144" s="1">
        <f t="shared" si="46"/>
        <v>5</v>
      </c>
    </row>
    <row r="145" spans="2:20" x14ac:dyDescent="0.2">
      <c r="B145" s="3">
        <v>328</v>
      </c>
      <c r="C145" s="384">
        <v>1</v>
      </c>
      <c r="D145" s="4" t="s">
        <v>307</v>
      </c>
      <c r="E145" s="4" t="s">
        <v>0</v>
      </c>
      <c r="F145" s="4" t="s">
        <v>0</v>
      </c>
      <c r="G145" s="4" t="s">
        <v>4</v>
      </c>
      <c r="H145" s="4" t="s">
        <v>0</v>
      </c>
      <c r="I145" s="4" t="s">
        <v>4</v>
      </c>
      <c r="J145" s="4" t="s">
        <v>16</v>
      </c>
      <c r="K145" s="371">
        <v>0.5</v>
      </c>
      <c r="R145" s="1">
        <f t="shared" si="47"/>
        <v>3</v>
      </c>
      <c r="S145" s="1">
        <f t="shared" si="48"/>
        <v>0</v>
      </c>
      <c r="T145" s="1">
        <f t="shared" si="46"/>
        <v>0</v>
      </c>
    </row>
    <row r="146" spans="2:20" x14ac:dyDescent="0.2">
      <c r="B146" s="3">
        <v>329</v>
      </c>
      <c r="C146" s="384">
        <v>1</v>
      </c>
      <c r="D146" s="4" t="s">
        <v>307</v>
      </c>
      <c r="E146" s="4" t="s">
        <v>0</v>
      </c>
      <c r="F146" s="4" t="s">
        <v>0</v>
      </c>
      <c r="G146" s="4" t="s">
        <v>5</v>
      </c>
      <c r="H146" s="4" t="s">
        <v>0</v>
      </c>
      <c r="I146" s="4" t="s">
        <v>5</v>
      </c>
      <c r="J146" s="4" t="s">
        <v>16</v>
      </c>
      <c r="K146" s="371">
        <v>0.5</v>
      </c>
      <c r="R146" s="1">
        <f t="shared" si="47"/>
        <v>4</v>
      </c>
      <c r="S146" s="1">
        <f t="shared" si="48"/>
        <v>1</v>
      </c>
      <c r="T146" s="1">
        <f t="shared" si="46"/>
        <v>1</v>
      </c>
    </row>
    <row r="147" spans="2:20" x14ac:dyDescent="0.2">
      <c r="B147" s="3">
        <v>330</v>
      </c>
      <c r="C147" s="384">
        <v>1</v>
      </c>
      <c r="D147" s="4" t="s">
        <v>308</v>
      </c>
      <c r="E147" s="4" t="s">
        <v>0</v>
      </c>
      <c r="F147" s="4" t="s">
        <v>0</v>
      </c>
      <c r="G147" s="4" t="s">
        <v>3</v>
      </c>
      <c r="H147" s="4" t="s">
        <v>1</v>
      </c>
      <c r="I147" s="4"/>
      <c r="J147" s="4" t="s">
        <v>16</v>
      </c>
      <c r="K147" s="371">
        <v>0.5</v>
      </c>
      <c r="R147" s="1">
        <f t="shared" si="47"/>
        <v>5</v>
      </c>
      <c r="S147" s="1">
        <f t="shared" si="48"/>
        <v>2</v>
      </c>
      <c r="T147" s="1">
        <f t="shared" si="46"/>
        <v>2</v>
      </c>
    </row>
    <row r="148" spans="2:20" x14ac:dyDescent="0.2">
      <c r="B148" s="3">
        <v>331</v>
      </c>
      <c r="C148" s="384">
        <v>1</v>
      </c>
      <c r="D148" s="4" t="s">
        <v>308</v>
      </c>
      <c r="E148" s="4" t="s">
        <v>0</v>
      </c>
      <c r="F148" s="4" t="s">
        <v>0</v>
      </c>
      <c r="G148" s="4" t="s">
        <v>4</v>
      </c>
      <c r="H148" s="4" t="s">
        <v>1</v>
      </c>
      <c r="I148" s="4"/>
      <c r="J148" s="4" t="s">
        <v>16</v>
      </c>
      <c r="K148" s="371">
        <v>0.5</v>
      </c>
      <c r="R148" s="1">
        <f t="shared" si="47"/>
        <v>6</v>
      </c>
      <c r="S148" s="1">
        <f t="shared" si="48"/>
        <v>3</v>
      </c>
      <c r="T148" s="1">
        <f t="shared" si="46"/>
        <v>3</v>
      </c>
    </row>
    <row r="149" spans="2:20" x14ac:dyDescent="0.2">
      <c r="B149" s="3">
        <v>332</v>
      </c>
      <c r="C149" s="384">
        <v>1</v>
      </c>
      <c r="D149" s="4" t="s">
        <v>308</v>
      </c>
      <c r="E149" s="4" t="s">
        <v>0</v>
      </c>
      <c r="F149" s="4" t="s">
        <v>0</v>
      </c>
      <c r="G149" s="4" t="s">
        <v>5</v>
      </c>
      <c r="H149" s="4" t="s">
        <v>1</v>
      </c>
      <c r="I149" s="4"/>
      <c r="J149" s="4" t="s">
        <v>16</v>
      </c>
      <c r="K149" s="371">
        <v>0.5</v>
      </c>
      <c r="R149" s="1">
        <f t="shared" si="47"/>
        <v>7</v>
      </c>
      <c r="S149" s="1">
        <f t="shared" si="48"/>
        <v>4</v>
      </c>
      <c r="T149" s="1">
        <f t="shared" si="46"/>
        <v>4</v>
      </c>
    </row>
    <row r="150" spans="2:20" x14ac:dyDescent="0.2">
      <c r="B150" s="3">
        <v>333</v>
      </c>
      <c r="C150" s="384">
        <v>1</v>
      </c>
      <c r="D150" s="4" t="s">
        <v>308</v>
      </c>
      <c r="E150" s="4" t="s">
        <v>0</v>
      </c>
      <c r="F150" s="4" t="s">
        <v>0</v>
      </c>
      <c r="G150" s="4" t="s">
        <v>3</v>
      </c>
      <c r="H150" s="4" t="s">
        <v>0</v>
      </c>
      <c r="I150" s="4" t="s">
        <v>3</v>
      </c>
      <c r="J150" s="4" t="s">
        <v>16</v>
      </c>
      <c r="K150" s="371">
        <v>0.5</v>
      </c>
      <c r="R150" s="1">
        <f t="shared" si="47"/>
        <v>8</v>
      </c>
      <c r="S150" s="1">
        <f t="shared" si="48"/>
        <v>5</v>
      </c>
      <c r="T150" s="1">
        <f t="shared" si="46"/>
        <v>5</v>
      </c>
    </row>
    <row r="151" spans="2:20" x14ac:dyDescent="0.2">
      <c r="B151" s="3">
        <v>334</v>
      </c>
      <c r="C151" s="384">
        <v>1</v>
      </c>
      <c r="D151" s="4" t="s">
        <v>308</v>
      </c>
      <c r="E151" s="4" t="s">
        <v>0</v>
      </c>
      <c r="F151" s="4" t="s">
        <v>0</v>
      </c>
      <c r="G151" s="4" t="s">
        <v>4</v>
      </c>
      <c r="H151" s="4" t="s">
        <v>0</v>
      </c>
      <c r="I151" s="4" t="s">
        <v>4</v>
      </c>
      <c r="J151" s="4" t="s">
        <v>16</v>
      </c>
      <c r="K151" s="371">
        <v>0.5</v>
      </c>
      <c r="R151" s="1">
        <f t="shared" si="47"/>
        <v>9</v>
      </c>
      <c r="S151" s="1">
        <f t="shared" si="48"/>
        <v>6</v>
      </c>
      <c r="T151" s="1">
        <f t="shared" si="46"/>
        <v>0</v>
      </c>
    </row>
    <row r="152" spans="2:20" x14ac:dyDescent="0.2">
      <c r="B152" s="3">
        <v>335</v>
      </c>
      <c r="C152" s="384">
        <v>1</v>
      </c>
      <c r="D152" s="4" t="s">
        <v>308</v>
      </c>
      <c r="E152" s="4" t="s">
        <v>0</v>
      </c>
      <c r="F152" s="4" t="s">
        <v>0</v>
      </c>
      <c r="G152" s="4" t="s">
        <v>5</v>
      </c>
      <c r="H152" s="4" t="s">
        <v>0</v>
      </c>
      <c r="I152" s="4" t="s">
        <v>5</v>
      </c>
      <c r="J152" s="4" t="s">
        <v>16</v>
      </c>
      <c r="K152" s="371">
        <v>0.5</v>
      </c>
      <c r="R152" s="1">
        <f t="shared" si="47"/>
        <v>10</v>
      </c>
      <c r="S152" s="1">
        <f t="shared" si="48"/>
        <v>7</v>
      </c>
      <c r="T152" s="1">
        <f t="shared" si="46"/>
        <v>1</v>
      </c>
    </row>
    <row r="153" spans="2:20" x14ac:dyDescent="0.2">
      <c r="B153" s="3"/>
      <c r="C153" s="4"/>
      <c r="D153" s="4"/>
      <c r="E153" s="384"/>
      <c r="F153" s="4"/>
      <c r="G153" s="4"/>
      <c r="H153" s="4"/>
      <c r="I153" s="4"/>
      <c r="J153" s="4"/>
      <c r="K153" s="371"/>
      <c r="R153" s="1">
        <f t="shared" si="47"/>
        <v>0</v>
      </c>
      <c r="S153" s="1">
        <f t="shared" si="48"/>
        <v>-3</v>
      </c>
      <c r="T153" s="1">
        <f t="shared" si="46"/>
        <v>3</v>
      </c>
    </row>
    <row r="154" spans="2:20" x14ac:dyDescent="0.2">
      <c r="B154" s="3">
        <v>336</v>
      </c>
      <c r="C154" s="384">
        <v>0.53</v>
      </c>
      <c r="D154" s="4" t="s">
        <v>307</v>
      </c>
      <c r="E154" s="4" t="s">
        <v>0</v>
      </c>
      <c r="F154" s="4" t="s">
        <v>0</v>
      </c>
      <c r="G154" s="4" t="s">
        <v>3</v>
      </c>
      <c r="H154" s="4" t="s">
        <v>1</v>
      </c>
      <c r="I154" s="4"/>
      <c r="J154" s="4" t="s">
        <v>16</v>
      </c>
      <c r="K154" s="371">
        <v>0.5</v>
      </c>
      <c r="R154" s="1">
        <f t="shared" si="47"/>
        <v>11</v>
      </c>
      <c r="S154" s="1">
        <f t="shared" si="48"/>
        <v>8</v>
      </c>
      <c r="T154" s="1">
        <f t="shared" si="46"/>
        <v>2</v>
      </c>
    </row>
    <row r="155" spans="2:20" x14ac:dyDescent="0.2">
      <c r="B155" s="3">
        <v>337</v>
      </c>
      <c r="C155" s="384">
        <v>0.53</v>
      </c>
      <c r="D155" s="4" t="s">
        <v>307</v>
      </c>
      <c r="E155" s="4" t="s">
        <v>0</v>
      </c>
      <c r="F155" s="4" t="s">
        <v>0</v>
      </c>
      <c r="G155" s="4" t="s">
        <v>4</v>
      </c>
      <c r="H155" s="4" t="s">
        <v>1</v>
      </c>
      <c r="I155" s="4"/>
      <c r="J155" s="4" t="s">
        <v>16</v>
      </c>
      <c r="K155" s="371">
        <v>0.5</v>
      </c>
      <c r="R155" s="1">
        <f t="shared" si="47"/>
        <v>12</v>
      </c>
      <c r="S155" s="1">
        <f t="shared" si="48"/>
        <v>9</v>
      </c>
      <c r="T155" s="1">
        <f t="shared" si="46"/>
        <v>3</v>
      </c>
    </row>
    <row r="156" spans="2:20" x14ac:dyDescent="0.2">
      <c r="B156" s="3">
        <v>338</v>
      </c>
      <c r="C156" s="384">
        <v>0.53</v>
      </c>
      <c r="D156" s="4" t="s">
        <v>307</v>
      </c>
      <c r="E156" s="4" t="s">
        <v>0</v>
      </c>
      <c r="F156" s="4" t="s">
        <v>0</v>
      </c>
      <c r="G156" s="4" t="s">
        <v>5</v>
      </c>
      <c r="H156" s="4" t="s">
        <v>1</v>
      </c>
      <c r="I156" s="4"/>
      <c r="J156" s="4" t="s">
        <v>16</v>
      </c>
      <c r="K156" s="371">
        <v>0.5</v>
      </c>
      <c r="R156" s="1">
        <f t="shared" si="47"/>
        <v>13</v>
      </c>
      <c r="S156" s="1">
        <f t="shared" si="48"/>
        <v>10</v>
      </c>
      <c r="T156" s="1">
        <f t="shared" si="46"/>
        <v>4</v>
      </c>
    </row>
    <row r="157" spans="2:20" x14ac:dyDescent="0.2">
      <c r="B157" s="3">
        <v>339</v>
      </c>
      <c r="C157" s="384">
        <v>0.53</v>
      </c>
      <c r="D157" s="4" t="s">
        <v>307</v>
      </c>
      <c r="E157" s="4" t="s">
        <v>0</v>
      </c>
      <c r="F157" s="4" t="s">
        <v>0</v>
      </c>
      <c r="G157" s="4" t="s">
        <v>3</v>
      </c>
      <c r="H157" s="4" t="s">
        <v>0</v>
      </c>
      <c r="I157" s="4" t="s">
        <v>3</v>
      </c>
      <c r="J157" s="4" t="s">
        <v>16</v>
      </c>
      <c r="K157" s="371">
        <v>0.5</v>
      </c>
      <c r="R157" s="1">
        <f t="shared" si="47"/>
        <v>14</v>
      </c>
      <c r="S157" s="1">
        <f t="shared" si="48"/>
        <v>11</v>
      </c>
      <c r="T157" s="1">
        <f t="shared" si="46"/>
        <v>5</v>
      </c>
    </row>
    <row r="158" spans="2:20" x14ac:dyDescent="0.2">
      <c r="B158" s="3">
        <v>340</v>
      </c>
      <c r="C158" s="384">
        <v>0.53</v>
      </c>
      <c r="D158" s="4" t="s">
        <v>307</v>
      </c>
      <c r="E158" s="4" t="s">
        <v>0</v>
      </c>
      <c r="F158" s="4" t="s">
        <v>0</v>
      </c>
      <c r="G158" s="4" t="s">
        <v>4</v>
      </c>
      <c r="H158" s="4" t="s">
        <v>0</v>
      </c>
      <c r="I158" s="4" t="s">
        <v>4</v>
      </c>
      <c r="J158" s="4" t="s">
        <v>16</v>
      </c>
      <c r="K158" s="371">
        <v>0.5</v>
      </c>
      <c r="R158" s="1">
        <f t="shared" si="47"/>
        <v>15</v>
      </c>
      <c r="S158" s="1">
        <f t="shared" si="48"/>
        <v>12</v>
      </c>
      <c r="T158" s="1">
        <f t="shared" si="46"/>
        <v>0</v>
      </c>
    </row>
    <row r="159" spans="2:20" x14ac:dyDescent="0.2">
      <c r="B159" s="3">
        <v>341</v>
      </c>
      <c r="C159" s="384">
        <v>0.53</v>
      </c>
      <c r="D159" s="4" t="s">
        <v>307</v>
      </c>
      <c r="E159" s="4" t="s">
        <v>0</v>
      </c>
      <c r="F159" s="4" t="s">
        <v>0</v>
      </c>
      <c r="G159" s="4" t="s">
        <v>5</v>
      </c>
      <c r="H159" s="4" t="s">
        <v>0</v>
      </c>
      <c r="I159" s="4" t="s">
        <v>5</v>
      </c>
      <c r="J159" s="4" t="s">
        <v>16</v>
      </c>
      <c r="K159" s="371">
        <v>0.5</v>
      </c>
      <c r="R159" s="1">
        <f t="shared" si="47"/>
        <v>16</v>
      </c>
      <c r="S159" s="1">
        <f t="shared" si="48"/>
        <v>13</v>
      </c>
      <c r="T159" s="1">
        <f t="shared" si="46"/>
        <v>1</v>
      </c>
    </row>
    <row r="160" spans="2:20" x14ac:dyDescent="0.2">
      <c r="B160" s="3">
        <v>342</v>
      </c>
      <c r="C160" s="384">
        <v>0.53</v>
      </c>
      <c r="D160" s="4" t="s">
        <v>308</v>
      </c>
      <c r="E160" s="4" t="s">
        <v>0</v>
      </c>
      <c r="F160" s="4" t="s">
        <v>0</v>
      </c>
      <c r="G160" s="4" t="s">
        <v>3</v>
      </c>
      <c r="H160" s="4" t="s">
        <v>1</v>
      </c>
      <c r="I160" s="4"/>
      <c r="J160" s="4" t="s">
        <v>16</v>
      </c>
      <c r="K160" s="371">
        <v>0.5</v>
      </c>
      <c r="R160" s="1">
        <f t="shared" si="47"/>
        <v>17</v>
      </c>
      <c r="S160" s="1">
        <f t="shared" si="48"/>
        <v>14</v>
      </c>
      <c r="T160" s="1">
        <f t="shared" si="46"/>
        <v>2</v>
      </c>
    </row>
    <row r="161" spans="2:20" x14ac:dyDescent="0.2">
      <c r="B161" s="3">
        <v>343</v>
      </c>
      <c r="C161" s="384">
        <v>0.53</v>
      </c>
      <c r="D161" s="4" t="s">
        <v>308</v>
      </c>
      <c r="E161" s="4" t="s">
        <v>0</v>
      </c>
      <c r="F161" s="4" t="s">
        <v>0</v>
      </c>
      <c r="G161" s="4" t="s">
        <v>4</v>
      </c>
      <c r="H161" s="4" t="s">
        <v>1</v>
      </c>
      <c r="I161" s="4"/>
      <c r="J161" s="4" t="s">
        <v>16</v>
      </c>
      <c r="K161" s="371">
        <v>0.5</v>
      </c>
      <c r="R161" s="1">
        <f t="shared" si="47"/>
        <v>18</v>
      </c>
      <c r="S161" s="1">
        <f t="shared" si="48"/>
        <v>15</v>
      </c>
      <c r="T161" s="1">
        <f t="shared" si="46"/>
        <v>3</v>
      </c>
    </row>
    <row r="162" spans="2:20" x14ac:dyDescent="0.2">
      <c r="B162" s="3">
        <v>344</v>
      </c>
      <c r="C162" s="384">
        <v>0.53</v>
      </c>
      <c r="D162" s="4" t="s">
        <v>308</v>
      </c>
      <c r="E162" s="4" t="s">
        <v>0</v>
      </c>
      <c r="F162" s="4" t="s">
        <v>0</v>
      </c>
      <c r="G162" s="4" t="s">
        <v>5</v>
      </c>
      <c r="H162" s="4" t="s">
        <v>1</v>
      </c>
      <c r="I162" s="4"/>
      <c r="J162" s="4" t="s">
        <v>16</v>
      </c>
      <c r="K162" s="371">
        <v>0.5</v>
      </c>
      <c r="R162" s="1">
        <f t="shared" si="47"/>
        <v>19</v>
      </c>
      <c r="S162" s="1">
        <f t="shared" si="48"/>
        <v>16</v>
      </c>
      <c r="T162" s="1">
        <f t="shared" si="46"/>
        <v>4</v>
      </c>
    </row>
    <row r="163" spans="2:20" x14ac:dyDescent="0.2">
      <c r="B163" s="3">
        <v>345</v>
      </c>
      <c r="C163" s="384">
        <v>0.53</v>
      </c>
      <c r="D163" s="4" t="s">
        <v>308</v>
      </c>
      <c r="E163" s="4" t="s">
        <v>0</v>
      </c>
      <c r="F163" s="4" t="s">
        <v>0</v>
      </c>
      <c r="G163" s="4" t="s">
        <v>3</v>
      </c>
      <c r="H163" s="4" t="s">
        <v>0</v>
      </c>
      <c r="I163" s="4" t="s">
        <v>3</v>
      </c>
      <c r="J163" s="4" t="s">
        <v>16</v>
      </c>
      <c r="K163" s="371">
        <v>0.5</v>
      </c>
      <c r="R163" s="1">
        <f t="shared" si="47"/>
        <v>20</v>
      </c>
      <c r="S163" s="1">
        <f t="shared" si="48"/>
        <v>17</v>
      </c>
      <c r="T163" s="1">
        <f t="shared" si="46"/>
        <v>5</v>
      </c>
    </row>
    <row r="164" spans="2:20" x14ac:dyDescent="0.2">
      <c r="B164" s="3">
        <v>346</v>
      </c>
      <c r="C164" s="384">
        <v>0.53</v>
      </c>
      <c r="D164" s="4" t="s">
        <v>308</v>
      </c>
      <c r="E164" s="4" t="s">
        <v>0</v>
      </c>
      <c r="F164" s="4" t="s">
        <v>0</v>
      </c>
      <c r="G164" s="4" t="s">
        <v>4</v>
      </c>
      <c r="H164" s="4" t="s">
        <v>0</v>
      </c>
      <c r="I164" s="4" t="s">
        <v>4</v>
      </c>
      <c r="J164" s="4" t="s">
        <v>16</v>
      </c>
      <c r="K164" s="371">
        <v>0.5</v>
      </c>
      <c r="R164" s="1">
        <f t="shared" si="47"/>
        <v>21</v>
      </c>
      <c r="S164" s="1">
        <f t="shared" si="48"/>
        <v>18</v>
      </c>
      <c r="T164" s="1">
        <f t="shared" si="46"/>
        <v>0</v>
      </c>
    </row>
    <row r="165" spans="2:20" x14ac:dyDescent="0.2">
      <c r="B165" s="3">
        <v>347</v>
      </c>
      <c r="C165" s="384">
        <v>0.53</v>
      </c>
      <c r="D165" s="4" t="s">
        <v>308</v>
      </c>
      <c r="E165" s="4" t="s">
        <v>0</v>
      </c>
      <c r="F165" s="4" t="s">
        <v>0</v>
      </c>
      <c r="G165" s="4" t="s">
        <v>5</v>
      </c>
      <c r="H165" s="4" t="s">
        <v>0</v>
      </c>
      <c r="I165" s="4" t="s">
        <v>5</v>
      </c>
      <c r="J165" s="4" t="s">
        <v>16</v>
      </c>
      <c r="K165" s="371">
        <v>0.5</v>
      </c>
      <c r="R165" s="1">
        <f t="shared" si="47"/>
        <v>22</v>
      </c>
      <c r="S165" s="1">
        <f t="shared" si="48"/>
        <v>19</v>
      </c>
      <c r="T165" s="1">
        <f t="shared" si="46"/>
        <v>1</v>
      </c>
    </row>
    <row r="166" spans="2:20" x14ac:dyDescent="0.2">
      <c r="B166" s="3"/>
      <c r="C166" s="384"/>
      <c r="D166" s="4"/>
      <c r="E166" s="4"/>
      <c r="F166" s="4"/>
      <c r="G166" s="4"/>
      <c r="H166" s="4"/>
      <c r="I166" s="4"/>
      <c r="J166" s="4"/>
      <c r="K166" s="371"/>
    </row>
    <row r="167" spans="2:20" x14ac:dyDescent="0.2">
      <c r="B167" s="3">
        <v>350</v>
      </c>
      <c r="C167" s="384">
        <v>15.67</v>
      </c>
      <c r="D167" s="4" t="s">
        <v>307</v>
      </c>
      <c r="E167" s="4" t="s">
        <v>0</v>
      </c>
      <c r="F167" s="4" t="s">
        <v>0</v>
      </c>
      <c r="G167" s="4" t="s">
        <v>3</v>
      </c>
      <c r="H167" s="4" t="s">
        <v>1</v>
      </c>
      <c r="I167" s="4"/>
      <c r="J167" s="4" t="s">
        <v>16</v>
      </c>
      <c r="K167" s="371">
        <v>1</v>
      </c>
    </row>
    <row r="168" spans="2:20" x14ac:dyDescent="0.2">
      <c r="B168" s="3">
        <v>351</v>
      </c>
      <c r="C168" s="4">
        <v>15.67</v>
      </c>
      <c r="D168" s="4" t="s">
        <v>307</v>
      </c>
      <c r="E168" s="4" t="s">
        <v>0</v>
      </c>
      <c r="F168" s="4" t="s">
        <v>0</v>
      </c>
      <c r="G168" s="4" t="s">
        <v>4</v>
      </c>
      <c r="H168" s="4" t="s">
        <v>1</v>
      </c>
      <c r="I168" s="4"/>
      <c r="J168" s="4" t="s">
        <v>16</v>
      </c>
      <c r="K168" s="371">
        <v>1</v>
      </c>
    </row>
    <row r="169" spans="2:20" x14ac:dyDescent="0.2">
      <c r="B169" s="3">
        <v>352</v>
      </c>
      <c r="C169" s="4">
        <v>15.67</v>
      </c>
      <c r="D169" s="4" t="s">
        <v>307</v>
      </c>
      <c r="E169" s="4" t="s">
        <v>0</v>
      </c>
      <c r="F169" s="4" t="s">
        <v>0</v>
      </c>
      <c r="G169" s="4" t="s">
        <v>5</v>
      </c>
      <c r="H169" s="4" t="s">
        <v>1</v>
      </c>
      <c r="I169" s="4"/>
      <c r="J169" s="4" t="s">
        <v>16</v>
      </c>
      <c r="K169" s="371">
        <v>1</v>
      </c>
    </row>
    <row r="170" spans="2:20" x14ac:dyDescent="0.2">
      <c r="B170" s="3">
        <v>353</v>
      </c>
      <c r="C170" s="4">
        <v>15.67</v>
      </c>
      <c r="D170" s="4" t="s">
        <v>307</v>
      </c>
      <c r="E170" s="4" t="s">
        <v>0</v>
      </c>
      <c r="F170" s="4" t="s">
        <v>0</v>
      </c>
      <c r="G170" s="4" t="s">
        <v>3</v>
      </c>
      <c r="H170" s="4" t="s">
        <v>0</v>
      </c>
      <c r="I170" s="4" t="s">
        <v>3</v>
      </c>
      <c r="J170" s="4" t="s">
        <v>16</v>
      </c>
      <c r="K170" s="371">
        <v>1</v>
      </c>
    </row>
    <row r="171" spans="2:20" x14ac:dyDescent="0.2">
      <c r="B171" s="3">
        <v>354</v>
      </c>
      <c r="C171" s="4">
        <v>15.67</v>
      </c>
      <c r="D171" s="4" t="s">
        <v>307</v>
      </c>
      <c r="E171" s="4" t="s">
        <v>0</v>
      </c>
      <c r="F171" s="4" t="s">
        <v>0</v>
      </c>
      <c r="G171" s="4" t="s">
        <v>4</v>
      </c>
      <c r="H171" s="4" t="s">
        <v>0</v>
      </c>
      <c r="I171" s="4" t="s">
        <v>4</v>
      </c>
      <c r="J171" s="4" t="s">
        <v>16</v>
      </c>
      <c r="K171" s="371">
        <v>1</v>
      </c>
    </row>
    <row r="172" spans="2:20" x14ac:dyDescent="0.2">
      <c r="B172" s="3">
        <v>355</v>
      </c>
      <c r="C172" s="4">
        <v>15.67</v>
      </c>
      <c r="D172" s="4" t="s">
        <v>307</v>
      </c>
      <c r="E172" s="4" t="s">
        <v>0</v>
      </c>
      <c r="F172" s="4" t="s">
        <v>0</v>
      </c>
      <c r="G172" s="4" t="s">
        <v>5</v>
      </c>
      <c r="H172" s="4" t="s">
        <v>0</v>
      </c>
      <c r="I172" s="4" t="s">
        <v>5</v>
      </c>
      <c r="J172" s="4" t="s">
        <v>16</v>
      </c>
      <c r="K172" s="371">
        <v>1</v>
      </c>
    </row>
    <row r="173" spans="2:20" x14ac:dyDescent="0.2">
      <c r="B173" s="3">
        <v>356</v>
      </c>
      <c r="C173" s="4">
        <v>15.67</v>
      </c>
      <c r="D173" s="4" t="s">
        <v>308</v>
      </c>
      <c r="E173" s="4" t="s">
        <v>0</v>
      </c>
      <c r="F173" s="4" t="s">
        <v>0</v>
      </c>
      <c r="G173" s="4" t="s">
        <v>3</v>
      </c>
      <c r="H173" s="4" t="s">
        <v>1</v>
      </c>
      <c r="I173" s="4"/>
      <c r="J173" s="4" t="s">
        <v>16</v>
      </c>
      <c r="K173" s="371">
        <v>1</v>
      </c>
    </row>
    <row r="174" spans="2:20" x14ac:dyDescent="0.2">
      <c r="B174" s="3">
        <v>357</v>
      </c>
      <c r="C174" s="4">
        <v>15.67</v>
      </c>
      <c r="D174" s="4" t="s">
        <v>308</v>
      </c>
      <c r="E174" s="4" t="s">
        <v>0</v>
      </c>
      <c r="F174" s="4" t="s">
        <v>0</v>
      </c>
      <c r="G174" s="4" t="s">
        <v>4</v>
      </c>
      <c r="H174" s="4" t="s">
        <v>1</v>
      </c>
      <c r="I174" s="4"/>
      <c r="J174" s="4" t="s">
        <v>16</v>
      </c>
      <c r="K174" s="371">
        <v>1</v>
      </c>
    </row>
    <row r="175" spans="2:20" x14ac:dyDescent="0.2">
      <c r="B175" s="3">
        <v>358</v>
      </c>
      <c r="C175" s="4">
        <v>15.67</v>
      </c>
      <c r="D175" s="4" t="s">
        <v>308</v>
      </c>
      <c r="E175" s="4" t="s">
        <v>0</v>
      </c>
      <c r="F175" s="4" t="s">
        <v>0</v>
      </c>
      <c r="G175" s="4" t="s">
        <v>5</v>
      </c>
      <c r="H175" s="4" t="s">
        <v>1</v>
      </c>
      <c r="I175" s="4"/>
      <c r="J175" s="4" t="s">
        <v>16</v>
      </c>
      <c r="K175" s="371">
        <v>1</v>
      </c>
    </row>
    <row r="176" spans="2:20" x14ac:dyDescent="0.2">
      <c r="B176" s="3">
        <v>359</v>
      </c>
      <c r="C176" s="4">
        <v>15.67</v>
      </c>
      <c r="D176" s="4" t="s">
        <v>308</v>
      </c>
      <c r="E176" s="4" t="s">
        <v>0</v>
      </c>
      <c r="F176" s="4" t="s">
        <v>0</v>
      </c>
      <c r="G176" s="4" t="s">
        <v>3</v>
      </c>
      <c r="H176" s="4" t="s">
        <v>0</v>
      </c>
      <c r="I176" s="4" t="s">
        <v>3</v>
      </c>
      <c r="J176" s="4" t="s">
        <v>16</v>
      </c>
      <c r="K176" s="371">
        <v>1</v>
      </c>
    </row>
    <row r="177" spans="2:11" x14ac:dyDescent="0.2">
      <c r="B177" s="3">
        <v>360</v>
      </c>
      <c r="C177" s="4">
        <v>15.67</v>
      </c>
      <c r="D177" s="4" t="s">
        <v>308</v>
      </c>
      <c r="E177" s="4" t="s">
        <v>0</v>
      </c>
      <c r="F177" s="4" t="s">
        <v>0</v>
      </c>
      <c r="G177" s="4" t="s">
        <v>4</v>
      </c>
      <c r="H177" s="4" t="s">
        <v>0</v>
      </c>
      <c r="I177" s="4" t="s">
        <v>4</v>
      </c>
      <c r="J177" s="4" t="s">
        <v>16</v>
      </c>
      <c r="K177" s="371">
        <v>1</v>
      </c>
    </row>
    <row r="178" spans="2:11" x14ac:dyDescent="0.2">
      <c r="B178" s="3">
        <v>361</v>
      </c>
      <c r="C178" s="4">
        <v>15.67</v>
      </c>
      <c r="D178" s="4" t="s">
        <v>308</v>
      </c>
      <c r="E178" s="4" t="s">
        <v>0</v>
      </c>
      <c r="F178" s="4" t="s">
        <v>0</v>
      </c>
      <c r="G178" s="4" t="s">
        <v>5</v>
      </c>
      <c r="H178" s="4" t="s">
        <v>0</v>
      </c>
      <c r="I178" s="4" t="s">
        <v>5</v>
      </c>
      <c r="J178" s="4" t="s">
        <v>16</v>
      </c>
      <c r="K178" s="371">
        <v>1</v>
      </c>
    </row>
    <row r="179" spans="2:11" x14ac:dyDescent="0.2">
      <c r="B179" s="3"/>
      <c r="C179" s="4"/>
      <c r="D179" s="4"/>
      <c r="E179" s="4"/>
      <c r="F179" s="4"/>
      <c r="G179" s="4"/>
      <c r="H179" s="4"/>
      <c r="I179" s="4"/>
      <c r="J179" s="4"/>
      <c r="K179" s="371"/>
    </row>
    <row r="180" spans="2:11" x14ac:dyDescent="0.2">
      <c r="B180" s="3">
        <v>362</v>
      </c>
      <c r="C180" s="384">
        <v>2.85</v>
      </c>
      <c r="D180" s="4" t="s">
        <v>307</v>
      </c>
      <c r="E180" s="4" t="s">
        <v>0</v>
      </c>
      <c r="F180" s="4" t="s">
        <v>0</v>
      </c>
      <c r="G180" s="4" t="s">
        <v>3</v>
      </c>
      <c r="H180" s="4" t="s">
        <v>1</v>
      </c>
      <c r="I180" s="4"/>
      <c r="J180" s="4" t="s">
        <v>16</v>
      </c>
      <c r="K180" s="371">
        <v>1</v>
      </c>
    </row>
    <row r="181" spans="2:11" x14ac:dyDescent="0.2">
      <c r="B181" s="3">
        <v>363</v>
      </c>
      <c r="C181" s="384">
        <v>2.85</v>
      </c>
      <c r="D181" s="4" t="s">
        <v>307</v>
      </c>
      <c r="E181" s="4" t="s">
        <v>0</v>
      </c>
      <c r="F181" s="4" t="s">
        <v>0</v>
      </c>
      <c r="G181" s="4" t="s">
        <v>4</v>
      </c>
      <c r="H181" s="4" t="s">
        <v>1</v>
      </c>
      <c r="I181" s="4"/>
      <c r="J181" s="4" t="s">
        <v>16</v>
      </c>
      <c r="K181" s="371">
        <v>1</v>
      </c>
    </row>
    <row r="182" spans="2:11" x14ac:dyDescent="0.2">
      <c r="B182" s="3">
        <v>364</v>
      </c>
      <c r="C182" s="384">
        <v>2.85</v>
      </c>
      <c r="D182" s="4" t="s">
        <v>307</v>
      </c>
      <c r="E182" s="4" t="s">
        <v>0</v>
      </c>
      <c r="F182" s="4" t="s">
        <v>0</v>
      </c>
      <c r="G182" s="4" t="s">
        <v>5</v>
      </c>
      <c r="H182" s="4" t="s">
        <v>1</v>
      </c>
      <c r="I182" s="4"/>
      <c r="J182" s="4" t="s">
        <v>16</v>
      </c>
      <c r="K182" s="371">
        <v>1</v>
      </c>
    </row>
    <row r="183" spans="2:11" x14ac:dyDescent="0.2">
      <c r="B183" s="3">
        <v>365</v>
      </c>
      <c r="C183" s="384">
        <v>2.85</v>
      </c>
      <c r="D183" s="4" t="s">
        <v>307</v>
      </c>
      <c r="E183" s="4" t="s">
        <v>0</v>
      </c>
      <c r="F183" s="4" t="s">
        <v>0</v>
      </c>
      <c r="G183" s="4" t="s">
        <v>3</v>
      </c>
      <c r="H183" s="4" t="s">
        <v>0</v>
      </c>
      <c r="I183" s="4" t="s">
        <v>3</v>
      </c>
      <c r="J183" s="4" t="s">
        <v>16</v>
      </c>
      <c r="K183" s="371">
        <v>1</v>
      </c>
    </row>
    <row r="184" spans="2:11" x14ac:dyDescent="0.2">
      <c r="B184" s="3">
        <v>366</v>
      </c>
      <c r="C184" s="384">
        <v>2.85</v>
      </c>
      <c r="D184" s="4" t="s">
        <v>307</v>
      </c>
      <c r="E184" s="4" t="s">
        <v>0</v>
      </c>
      <c r="F184" s="4" t="s">
        <v>0</v>
      </c>
      <c r="G184" s="4" t="s">
        <v>4</v>
      </c>
      <c r="H184" s="4" t="s">
        <v>0</v>
      </c>
      <c r="I184" s="4" t="s">
        <v>4</v>
      </c>
      <c r="J184" s="4" t="s">
        <v>16</v>
      </c>
      <c r="K184" s="371">
        <v>1</v>
      </c>
    </row>
    <row r="185" spans="2:11" x14ac:dyDescent="0.2">
      <c r="B185" s="3">
        <v>367</v>
      </c>
      <c r="C185" s="384">
        <v>2.85</v>
      </c>
      <c r="D185" s="4" t="s">
        <v>307</v>
      </c>
      <c r="E185" s="4" t="s">
        <v>0</v>
      </c>
      <c r="F185" s="4" t="s">
        <v>0</v>
      </c>
      <c r="G185" s="4" t="s">
        <v>5</v>
      </c>
      <c r="H185" s="4" t="s">
        <v>0</v>
      </c>
      <c r="I185" s="4" t="s">
        <v>5</v>
      </c>
      <c r="J185" s="4" t="s">
        <v>16</v>
      </c>
      <c r="K185" s="371">
        <v>1</v>
      </c>
    </row>
    <row r="186" spans="2:11" x14ac:dyDescent="0.2">
      <c r="B186" s="3">
        <v>368</v>
      </c>
      <c r="C186" s="384">
        <v>2.85</v>
      </c>
      <c r="D186" s="4" t="s">
        <v>308</v>
      </c>
      <c r="E186" s="4" t="s">
        <v>0</v>
      </c>
      <c r="F186" s="4" t="s">
        <v>0</v>
      </c>
      <c r="G186" s="4" t="s">
        <v>3</v>
      </c>
      <c r="H186" s="4" t="s">
        <v>1</v>
      </c>
      <c r="I186" s="4"/>
      <c r="J186" s="4" t="s">
        <v>16</v>
      </c>
      <c r="K186" s="371">
        <v>1</v>
      </c>
    </row>
    <row r="187" spans="2:11" x14ac:dyDescent="0.2">
      <c r="B187" s="3">
        <v>369</v>
      </c>
      <c r="C187" s="384">
        <v>2.85</v>
      </c>
      <c r="D187" s="4" t="s">
        <v>308</v>
      </c>
      <c r="E187" s="4" t="s">
        <v>0</v>
      </c>
      <c r="F187" s="4" t="s">
        <v>0</v>
      </c>
      <c r="G187" s="4" t="s">
        <v>4</v>
      </c>
      <c r="H187" s="4" t="s">
        <v>1</v>
      </c>
      <c r="I187" s="4"/>
      <c r="J187" s="4" t="s">
        <v>16</v>
      </c>
      <c r="K187" s="371">
        <v>1</v>
      </c>
    </row>
    <row r="188" spans="2:11" x14ac:dyDescent="0.2">
      <c r="B188" s="3">
        <v>370</v>
      </c>
      <c r="C188" s="384">
        <v>2.85</v>
      </c>
      <c r="D188" s="4" t="s">
        <v>308</v>
      </c>
      <c r="E188" s="4" t="s">
        <v>0</v>
      </c>
      <c r="F188" s="4" t="s">
        <v>0</v>
      </c>
      <c r="G188" s="4" t="s">
        <v>5</v>
      </c>
      <c r="H188" s="4" t="s">
        <v>1</v>
      </c>
      <c r="I188" s="4"/>
      <c r="J188" s="4" t="s">
        <v>16</v>
      </c>
      <c r="K188" s="371">
        <v>1</v>
      </c>
    </row>
    <row r="189" spans="2:11" x14ac:dyDescent="0.2">
      <c r="B189" s="3">
        <v>371</v>
      </c>
      <c r="C189" s="384">
        <v>2.85</v>
      </c>
      <c r="D189" s="4" t="s">
        <v>308</v>
      </c>
      <c r="E189" s="4" t="s">
        <v>0</v>
      </c>
      <c r="F189" s="4" t="s">
        <v>0</v>
      </c>
      <c r="G189" s="4" t="s">
        <v>3</v>
      </c>
      <c r="H189" s="4" t="s">
        <v>0</v>
      </c>
      <c r="I189" s="4" t="s">
        <v>3</v>
      </c>
      <c r="J189" s="4" t="s">
        <v>16</v>
      </c>
      <c r="K189" s="371">
        <v>1</v>
      </c>
    </row>
    <row r="190" spans="2:11" x14ac:dyDescent="0.2">
      <c r="B190" s="3">
        <v>372</v>
      </c>
      <c r="C190" s="384">
        <v>2.85</v>
      </c>
      <c r="D190" s="4" t="s">
        <v>308</v>
      </c>
      <c r="E190" s="4" t="s">
        <v>0</v>
      </c>
      <c r="F190" s="4" t="s">
        <v>0</v>
      </c>
      <c r="G190" s="4" t="s">
        <v>4</v>
      </c>
      <c r="H190" s="4" t="s">
        <v>0</v>
      </c>
      <c r="I190" s="4" t="s">
        <v>4</v>
      </c>
      <c r="J190" s="4" t="s">
        <v>16</v>
      </c>
      <c r="K190" s="371">
        <v>1</v>
      </c>
    </row>
    <row r="191" spans="2:11" x14ac:dyDescent="0.2">
      <c r="B191" s="3">
        <v>373</v>
      </c>
      <c r="C191" s="384">
        <v>2.85</v>
      </c>
      <c r="D191" s="4" t="s">
        <v>308</v>
      </c>
      <c r="E191" s="4" t="s">
        <v>0</v>
      </c>
      <c r="F191" s="4" t="s">
        <v>0</v>
      </c>
      <c r="G191" s="4" t="s">
        <v>5</v>
      </c>
      <c r="H191" s="4" t="s">
        <v>0</v>
      </c>
      <c r="I191" s="4" t="s">
        <v>5</v>
      </c>
      <c r="J191" s="4" t="s">
        <v>16</v>
      </c>
      <c r="K191" s="371">
        <v>1</v>
      </c>
    </row>
    <row r="192" spans="2:11" x14ac:dyDescent="0.2">
      <c r="B192" s="3"/>
      <c r="C192" s="4"/>
      <c r="D192" s="4"/>
      <c r="E192" s="384"/>
      <c r="F192" s="4"/>
      <c r="G192" s="4"/>
      <c r="H192" s="4"/>
      <c r="I192" s="4"/>
      <c r="J192" s="4"/>
      <c r="K192" s="371"/>
    </row>
    <row r="193" spans="2:11" x14ac:dyDescent="0.2">
      <c r="B193" s="3">
        <v>374</v>
      </c>
      <c r="C193" s="384">
        <v>1</v>
      </c>
      <c r="D193" s="4" t="s">
        <v>307</v>
      </c>
      <c r="E193" s="4" t="s">
        <v>0</v>
      </c>
      <c r="F193" s="4" t="s">
        <v>0</v>
      </c>
      <c r="G193" s="4" t="s">
        <v>3</v>
      </c>
      <c r="H193" s="4" t="s">
        <v>1</v>
      </c>
      <c r="I193" s="4"/>
      <c r="J193" s="4" t="s">
        <v>16</v>
      </c>
      <c r="K193" s="371">
        <v>1</v>
      </c>
    </row>
    <row r="194" spans="2:11" x14ac:dyDescent="0.2">
      <c r="B194" s="3">
        <v>375</v>
      </c>
      <c r="C194" s="384">
        <v>1</v>
      </c>
      <c r="D194" s="4" t="s">
        <v>307</v>
      </c>
      <c r="E194" s="4" t="s">
        <v>0</v>
      </c>
      <c r="F194" s="4" t="s">
        <v>0</v>
      </c>
      <c r="G194" s="4" t="s">
        <v>4</v>
      </c>
      <c r="H194" s="4" t="s">
        <v>1</v>
      </c>
      <c r="I194" s="4"/>
      <c r="J194" s="4" t="s">
        <v>16</v>
      </c>
      <c r="K194" s="371">
        <v>1</v>
      </c>
    </row>
    <row r="195" spans="2:11" x14ac:dyDescent="0.2">
      <c r="B195" s="3">
        <v>376</v>
      </c>
      <c r="C195" s="384">
        <v>1</v>
      </c>
      <c r="D195" s="4" t="s">
        <v>307</v>
      </c>
      <c r="E195" s="4" t="s">
        <v>0</v>
      </c>
      <c r="F195" s="4" t="s">
        <v>0</v>
      </c>
      <c r="G195" s="4" t="s">
        <v>5</v>
      </c>
      <c r="H195" s="4" t="s">
        <v>1</v>
      </c>
      <c r="I195" s="4"/>
      <c r="J195" s="4" t="s">
        <v>16</v>
      </c>
      <c r="K195" s="371">
        <v>1</v>
      </c>
    </row>
    <row r="196" spans="2:11" x14ac:dyDescent="0.2">
      <c r="B196" s="3">
        <v>377</v>
      </c>
      <c r="C196" s="384">
        <v>1</v>
      </c>
      <c r="D196" s="4" t="s">
        <v>307</v>
      </c>
      <c r="E196" s="4" t="s">
        <v>0</v>
      </c>
      <c r="F196" s="4" t="s">
        <v>0</v>
      </c>
      <c r="G196" s="4" t="s">
        <v>3</v>
      </c>
      <c r="H196" s="4" t="s">
        <v>0</v>
      </c>
      <c r="I196" s="4" t="s">
        <v>3</v>
      </c>
      <c r="J196" s="4" t="s">
        <v>16</v>
      </c>
      <c r="K196" s="371">
        <v>1</v>
      </c>
    </row>
    <row r="197" spans="2:11" x14ac:dyDescent="0.2">
      <c r="B197" s="3">
        <v>378</v>
      </c>
      <c r="C197" s="384">
        <v>1</v>
      </c>
      <c r="D197" s="4" t="s">
        <v>307</v>
      </c>
      <c r="E197" s="4" t="s">
        <v>0</v>
      </c>
      <c r="F197" s="4" t="s">
        <v>0</v>
      </c>
      <c r="G197" s="4" t="s">
        <v>4</v>
      </c>
      <c r="H197" s="4" t="s">
        <v>0</v>
      </c>
      <c r="I197" s="4" t="s">
        <v>4</v>
      </c>
      <c r="J197" s="4" t="s">
        <v>16</v>
      </c>
      <c r="K197" s="371">
        <v>1</v>
      </c>
    </row>
    <row r="198" spans="2:11" x14ac:dyDescent="0.2">
      <c r="B198" s="3">
        <v>379</v>
      </c>
      <c r="C198" s="384">
        <v>1</v>
      </c>
      <c r="D198" s="4" t="s">
        <v>307</v>
      </c>
      <c r="E198" s="4" t="s">
        <v>0</v>
      </c>
      <c r="F198" s="4" t="s">
        <v>0</v>
      </c>
      <c r="G198" s="4" t="s">
        <v>5</v>
      </c>
      <c r="H198" s="4" t="s">
        <v>0</v>
      </c>
      <c r="I198" s="4" t="s">
        <v>5</v>
      </c>
      <c r="J198" s="4" t="s">
        <v>16</v>
      </c>
      <c r="K198" s="371">
        <v>1</v>
      </c>
    </row>
    <row r="199" spans="2:11" x14ac:dyDescent="0.2">
      <c r="B199" s="3">
        <v>380</v>
      </c>
      <c r="C199" s="384">
        <v>1</v>
      </c>
      <c r="D199" s="4" t="s">
        <v>308</v>
      </c>
      <c r="E199" s="4" t="s">
        <v>0</v>
      </c>
      <c r="F199" s="4" t="s">
        <v>0</v>
      </c>
      <c r="G199" s="4" t="s">
        <v>3</v>
      </c>
      <c r="H199" s="4" t="s">
        <v>1</v>
      </c>
      <c r="I199" s="4"/>
      <c r="J199" s="4" t="s">
        <v>16</v>
      </c>
      <c r="K199" s="371">
        <v>1</v>
      </c>
    </row>
    <row r="200" spans="2:11" x14ac:dyDescent="0.2">
      <c r="B200" s="3">
        <v>381</v>
      </c>
      <c r="C200" s="384">
        <v>1</v>
      </c>
      <c r="D200" s="4" t="s">
        <v>308</v>
      </c>
      <c r="E200" s="4" t="s">
        <v>0</v>
      </c>
      <c r="F200" s="4" t="s">
        <v>0</v>
      </c>
      <c r="G200" s="4" t="s">
        <v>4</v>
      </c>
      <c r="H200" s="4" t="s">
        <v>1</v>
      </c>
      <c r="I200" s="4"/>
      <c r="J200" s="4" t="s">
        <v>16</v>
      </c>
      <c r="K200" s="371">
        <v>1</v>
      </c>
    </row>
    <row r="201" spans="2:11" x14ac:dyDescent="0.2">
      <c r="B201" s="3">
        <v>382</v>
      </c>
      <c r="C201" s="384">
        <v>1</v>
      </c>
      <c r="D201" s="4" t="s">
        <v>308</v>
      </c>
      <c r="E201" s="4" t="s">
        <v>0</v>
      </c>
      <c r="F201" s="4" t="s">
        <v>0</v>
      </c>
      <c r="G201" s="4" t="s">
        <v>5</v>
      </c>
      <c r="H201" s="4" t="s">
        <v>1</v>
      </c>
      <c r="I201" s="4"/>
      <c r="J201" s="4" t="s">
        <v>16</v>
      </c>
      <c r="K201" s="371">
        <v>1</v>
      </c>
    </row>
    <row r="202" spans="2:11" x14ac:dyDescent="0.2">
      <c r="B202" s="3">
        <v>383</v>
      </c>
      <c r="C202" s="384">
        <v>1</v>
      </c>
      <c r="D202" s="4" t="s">
        <v>308</v>
      </c>
      <c r="E202" s="4" t="s">
        <v>0</v>
      </c>
      <c r="F202" s="4" t="s">
        <v>0</v>
      </c>
      <c r="G202" s="4" t="s">
        <v>3</v>
      </c>
      <c r="H202" s="4" t="s">
        <v>0</v>
      </c>
      <c r="I202" s="4" t="s">
        <v>3</v>
      </c>
      <c r="J202" s="4" t="s">
        <v>16</v>
      </c>
      <c r="K202" s="371">
        <v>1</v>
      </c>
    </row>
    <row r="203" spans="2:11" x14ac:dyDescent="0.2">
      <c r="B203" s="3">
        <v>384</v>
      </c>
      <c r="C203" s="384">
        <v>1</v>
      </c>
      <c r="D203" s="4" t="s">
        <v>308</v>
      </c>
      <c r="E203" s="4" t="s">
        <v>0</v>
      </c>
      <c r="F203" s="4" t="s">
        <v>0</v>
      </c>
      <c r="G203" s="4" t="s">
        <v>4</v>
      </c>
      <c r="H203" s="4" t="s">
        <v>0</v>
      </c>
      <c r="I203" s="4" t="s">
        <v>4</v>
      </c>
      <c r="J203" s="4" t="s">
        <v>16</v>
      </c>
      <c r="K203" s="371">
        <v>1</v>
      </c>
    </row>
    <row r="204" spans="2:11" x14ac:dyDescent="0.2">
      <c r="B204" s="3">
        <v>385</v>
      </c>
      <c r="C204" s="384">
        <v>1</v>
      </c>
      <c r="D204" s="4" t="s">
        <v>308</v>
      </c>
      <c r="E204" s="4" t="s">
        <v>0</v>
      </c>
      <c r="F204" s="4" t="s">
        <v>0</v>
      </c>
      <c r="G204" s="4" t="s">
        <v>5</v>
      </c>
      <c r="H204" s="4" t="s">
        <v>0</v>
      </c>
      <c r="I204" s="4" t="s">
        <v>5</v>
      </c>
      <c r="J204" s="4" t="s">
        <v>16</v>
      </c>
      <c r="K204" s="371">
        <v>1</v>
      </c>
    </row>
    <row r="205" spans="2:11" x14ac:dyDescent="0.2">
      <c r="B205" s="3"/>
      <c r="C205" s="4"/>
      <c r="D205" s="4"/>
      <c r="E205" s="384"/>
      <c r="F205" s="4"/>
      <c r="G205" s="4"/>
      <c r="H205" s="4"/>
      <c r="I205" s="4"/>
      <c r="J205" s="4"/>
      <c r="K205" s="371"/>
    </row>
    <row r="206" spans="2:11" x14ac:dyDescent="0.2">
      <c r="B206" s="3">
        <v>386</v>
      </c>
      <c r="C206" s="384">
        <v>0.53</v>
      </c>
      <c r="D206" s="4" t="s">
        <v>307</v>
      </c>
      <c r="E206" s="4" t="s">
        <v>0</v>
      </c>
      <c r="F206" s="4" t="s">
        <v>0</v>
      </c>
      <c r="G206" s="4" t="s">
        <v>3</v>
      </c>
      <c r="H206" s="4" t="s">
        <v>1</v>
      </c>
      <c r="I206" s="4"/>
      <c r="J206" s="4" t="s">
        <v>16</v>
      </c>
      <c r="K206" s="371">
        <v>1</v>
      </c>
    </row>
    <row r="207" spans="2:11" x14ac:dyDescent="0.2">
      <c r="B207" s="3">
        <v>387</v>
      </c>
      <c r="C207" s="384">
        <v>0.53</v>
      </c>
      <c r="D207" s="4" t="s">
        <v>307</v>
      </c>
      <c r="E207" s="4" t="s">
        <v>0</v>
      </c>
      <c r="F207" s="4" t="s">
        <v>0</v>
      </c>
      <c r="G207" s="4" t="s">
        <v>4</v>
      </c>
      <c r="H207" s="4" t="s">
        <v>1</v>
      </c>
      <c r="I207" s="4"/>
      <c r="J207" s="4" t="s">
        <v>16</v>
      </c>
      <c r="K207" s="371">
        <v>1</v>
      </c>
    </row>
    <row r="208" spans="2:11" x14ac:dyDescent="0.2">
      <c r="B208" s="3">
        <v>388</v>
      </c>
      <c r="C208" s="384">
        <v>0.53</v>
      </c>
      <c r="D208" s="4" t="s">
        <v>307</v>
      </c>
      <c r="E208" s="4" t="s">
        <v>0</v>
      </c>
      <c r="F208" s="4" t="s">
        <v>0</v>
      </c>
      <c r="G208" s="4" t="s">
        <v>5</v>
      </c>
      <c r="H208" s="4" t="s">
        <v>1</v>
      </c>
      <c r="I208" s="4"/>
      <c r="J208" s="4" t="s">
        <v>16</v>
      </c>
      <c r="K208" s="371">
        <v>1</v>
      </c>
    </row>
    <row r="209" spans="2:11" x14ac:dyDescent="0.2">
      <c r="B209" s="3">
        <v>389</v>
      </c>
      <c r="C209" s="384">
        <v>0.53</v>
      </c>
      <c r="D209" s="4" t="s">
        <v>307</v>
      </c>
      <c r="E209" s="4" t="s">
        <v>0</v>
      </c>
      <c r="F209" s="4" t="s">
        <v>0</v>
      </c>
      <c r="G209" s="4" t="s">
        <v>3</v>
      </c>
      <c r="H209" s="4" t="s">
        <v>0</v>
      </c>
      <c r="I209" s="4" t="s">
        <v>3</v>
      </c>
      <c r="J209" s="4" t="s">
        <v>16</v>
      </c>
      <c r="K209" s="371">
        <v>1</v>
      </c>
    </row>
    <row r="210" spans="2:11" x14ac:dyDescent="0.2">
      <c r="B210" s="3">
        <v>390</v>
      </c>
      <c r="C210" s="384">
        <v>0.53</v>
      </c>
      <c r="D210" s="4" t="s">
        <v>307</v>
      </c>
      <c r="E210" s="4" t="s">
        <v>0</v>
      </c>
      <c r="F210" s="4" t="s">
        <v>0</v>
      </c>
      <c r="G210" s="4" t="s">
        <v>4</v>
      </c>
      <c r="H210" s="4" t="s">
        <v>0</v>
      </c>
      <c r="I210" s="4" t="s">
        <v>4</v>
      </c>
      <c r="J210" s="4" t="s">
        <v>16</v>
      </c>
      <c r="K210" s="371">
        <v>1</v>
      </c>
    </row>
    <row r="211" spans="2:11" x14ac:dyDescent="0.2">
      <c r="B211" s="3">
        <v>391</v>
      </c>
      <c r="C211" s="384">
        <v>0.53</v>
      </c>
      <c r="D211" s="4" t="s">
        <v>307</v>
      </c>
      <c r="E211" s="4" t="s">
        <v>0</v>
      </c>
      <c r="F211" s="4" t="s">
        <v>0</v>
      </c>
      <c r="G211" s="4" t="s">
        <v>5</v>
      </c>
      <c r="H211" s="4" t="s">
        <v>0</v>
      </c>
      <c r="I211" s="4" t="s">
        <v>5</v>
      </c>
      <c r="J211" s="4" t="s">
        <v>16</v>
      </c>
      <c r="K211" s="371">
        <v>1</v>
      </c>
    </row>
    <row r="212" spans="2:11" x14ac:dyDescent="0.2">
      <c r="B212" s="3">
        <v>392</v>
      </c>
      <c r="C212" s="384">
        <v>0.53</v>
      </c>
      <c r="D212" s="4" t="s">
        <v>308</v>
      </c>
      <c r="E212" s="4" t="s">
        <v>0</v>
      </c>
      <c r="F212" s="4" t="s">
        <v>0</v>
      </c>
      <c r="G212" s="4" t="s">
        <v>3</v>
      </c>
      <c r="H212" s="4" t="s">
        <v>1</v>
      </c>
      <c r="I212" s="4"/>
      <c r="J212" s="4" t="s">
        <v>16</v>
      </c>
      <c r="K212" s="371">
        <v>1</v>
      </c>
    </row>
    <row r="213" spans="2:11" x14ac:dyDescent="0.2">
      <c r="B213" s="3">
        <v>393</v>
      </c>
      <c r="C213" s="384">
        <v>0.53</v>
      </c>
      <c r="D213" s="4" t="s">
        <v>308</v>
      </c>
      <c r="E213" s="4" t="s">
        <v>0</v>
      </c>
      <c r="F213" s="4" t="s">
        <v>0</v>
      </c>
      <c r="G213" s="4" t="s">
        <v>4</v>
      </c>
      <c r="H213" s="4" t="s">
        <v>1</v>
      </c>
      <c r="I213" s="4"/>
      <c r="J213" s="4" t="s">
        <v>16</v>
      </c>
      <c r="K213" s="371">
        <v>1</v>
      </c>
    </row>
    <row r="214" spans="2:11" x14ac:dyDescent="0.2">
      <c r="B214" s="3">
        <v>394</v>
      </c>
      <c r="C214" s="384">
        <v>0.53</v>
      </c>
      <c r="D214" s="4" t="s">
        <v>308</v>
      </c>
      <c r="E214" s="4" t="s">
        <v>0</v>
      </c>
      <c r="F214" s="4" t="s">
        <v>0</v>
      </c>
      <c r="G214" s="4" t="s">
        <v>5</v>
      </c>
      <c r="H214" s="4" t="s">
        <v>1</v>
      </c>
      <c r="I214" s="4"/>
      <c r="J214" s="4" t="s">
        <v>16</v>
      </c>
      <c r="K214" s="371">
        <v>1</v>
      </c>
    </row>
    <row r="215" spans="2:11" x14ac:dyDescent="0.2">
      <c r="B215" s="3">
        <v>395</v>
      </c>
      <c r="C215" s="384">
        <v>0.53</v>
      </c>
      <c r="D215" s="4" t="s">
        <v>308</v>
      </c>
      <c r="E215" s="4" t="s">
        <v>0</v>
      </c>
      <c r="F215" s="4" t="s">
        <v>0</v>
      </c>
      <c r="G215" s="4" t="s">
        <v>3</v>
      </c>
      <c r="H215" s="4" t="s">
        <v>0</v>
      </c>
      <c r="I215" s="4" t="s">
        <v>3</v>
      </c>
      <c r="J215" s="4" t="s">
        <v>16</v>
      </c>
      <c r="K215" s="371">
        <v>1</v>
      </c>
    </row>
    <row r="216" spans="2:11" x14ac:dyDescent="0.2">
      <c r="B216" s="3">
        <v>396</v>
      </c>
      <c r="C216" s="384">
        <v>0.53</v>
      </c>
      <c r="D216" s="4" t="s">
        <v>308</v>
      </c>
      <c r="E216" s="4" t="s">
        <v>0</v>
      </c>
      <c r="F216" s="4" t="s">
        <v>0</v>
      </c>
      <c r="G216" s="4" t="s">
        <v>4</v>
      </c>
      <c r="H216" s="4" t="s">
        <v>0</v>
      </c>
      <c r="I216" s="4" t="s">
        <v>4</v>
      </c>
      <c r="J216" s="4" t="s">
        <v>16</v>
      </c>
      <c r="K216" s="371">
        <v>1</v>
      </c>
    </row>
    <row r="217" spans="2:11" x14ac:dyDescent="0.2">
      <c r="B217" s="3">
        <v>397</v>
      </c>
      <c r="C217" s="384">
        <v>0.53</v>
      </c>
      <c r="D217" s="4" t="s">
        <v>308</v>
      </c>
      <c r="E217" s="4" t="s">
        <v>0</v>
      </c>
      <c r="F217" s="4" t="s">
        <v>0</v>
      </c>
      <c r="G217" s="4" t="s">
        <v>5</v>
      </c>
      <c r="H217" s="4" t="s">
        <v>0</v>
      </c>
      <c r="I217" s="4" t="s">
        <v>5</v>
      </c>
      <c r="J217" s="4" t="s">
        <v>16</v>
      </c>
      <c r="K217" s="371">
        <v>1</v>
      </c>
    </row>
    <row r="218" spans="2:11" x14ac:dyDescent="0.2">
      <c r="B218" s="3"/>
      <c r="C218" s="4"/>
      <c r="D218" s="4"/>
      <c r="E218" s="4"/>
      <c r="F218" s="4"/>
      <c r="G218" s="4"/>
      <c r="H218" s="4"/>
      <c r="I218" s="4"/>
      <c r="J218" s="4"/>
      <c r="K218" s="371"/>
    </row>
    <row r="219" spans="2:11" x14ac:dyDescent="0.2">
      <c r="B219" s="3">
        <v>400</v>
      </c>
      <c r="C219" s="384">
        <v>15.67</v>
      </c>
      <c r="D219" s="4" t="s">
        <v>307</v>
      </c>
      <c r="E219" s="4" t="s">
        <v>0</v>
      </c>
      <c r="F219" s="4" t="s">
        <v>0</v>
      </c>
      <c r="G219" s="4" t="s">
        <v>3</v>
      </c>
      <c r="H219" s="4" t="s">
        <v>1</v>
      </c>
      <c r="I219" s="4"/>
      <c r="J219" s="4" t="s">
        <v>16</v>
      </c>
      <c r="K219" s="371">
        <v>2</v>
      </c>
    </row>
    <row r="220" spans="2:11" x14ac:dyDescent="0.2">
      <c r="B220" s="3">
        <v>401</v>
      </c>
      <c r="C220" s="4">
        <v>15.67</v>
      </c>
      <c r="D220" s="4" t="s">
        <v>307</v>
      </c>
      <c r="E220" s="4" t="s">
        <v>0</v>
      </c>
      <c r="F220" s="4" t="s">
        <v>0</v>
      </c>
      <c r="G220" s="4" t="s">
        <v>4</v>
      </c>
      <c r="H220" s="4" t="s">
        <v>1</v>
      </c>
      <c r="I220" s="4"/>
      <c r="J220" s="4" t="s">
        <v>16</v>
      </c>
      <c r="K220" s="371">
        <v>2</v>
      </c>
    </row>
    <row r="221" spans="2:11" x14ac:dyDescent="0.2">
      <c r="B221" s="3">
        <v>402</v>
      </c>
      <c r="C221" s="4">
        <v>15.67</v>
      </c>
      <c r="D221" s="4" t="s">
        <v>307</v>
      </c>
      <c r="E221" s="4" t="s">
        <v>0</v>
      </c>
      <c r="F221" s="4" t="s">
        <v>0</v>
      </c>
      <c r="G221" s="4" t="s">
        <v>5</v>
      </c>
      <c r="H221" s="4" t="s">
        <v>1</v>
      </c>
      <c r="I221" s="4"/>
      <c r="J221" s="4" t="s">
        <v>16</v>
      </c>
      <c r="K221" s="371">
        <v>2</v>
      </c>
    </row>
    <row r="222" spans="2:11" x14ac:dyDescent="0.2">
      <c r="B222" s="3">
        <v>403</v>
      </c>
      <c r="C222" s="4">
        <v>15.67</v>
      </c>
      <c r="D222" s="4" t="s">
        <v>307</v>
      </c>
      <c r="E222" s="4" t="s">
        <v>0</v>
      </c>
      <c r="F222" s="4" t="s">
        <v>0</v>
      </c>
      <c r="G222" s="4" t="s">
        <v>3</v>
      </c>
      <c r="H222" s="4" t="s">
        <v>0</v>
      </c>
      <c r="I222" s="4" t="s">
        <v>3</v>
      </c>
      <c r="J222" s="4" t="s">
        <v>16</v>
      </c>
      <c r="K222" s="371">
        <v>2</v>
      </c>
    </row>
    <row r="223" spans="2:11" x14ac:dyDescent="0.2">
      <c r="B223" s="3">
        <v>404</v>
      </c>
      <c r="C223" s="4">
        <v>15.67</v>
      </c>
      <c r="D223" s="4" t="s">
        <v>307</v>
      </c>
      <c r="E223" s="4" t="s">
        <v>0</v>
      </c>
      <c r="F223" s="4" t="s">
        <v>0</v>
      </c>
      <c r="G223" s="4" t="s">
        <v>4</v>
      </c>
      <c r="H223" s="4" t="s">
        <v>0</v>
      </c>
      <c r="I223" s="4" t="s">
        <v>4</v>
      </c>
      <c r="J223" s="4" t="s">
        <v>16</v>
      </c>
      <c r="K223" s="371">
        <v>2</v>
      </c>
    </row>
    <row r="224" spans="2:11" x14ac:dyDescent="0.2">
      <c r="B224" s="3">
        <v>405</v>
      </c>
      <c r="C224" s="4">
        <v>15.67</v>
      </c>
      <c r="D224" s="4" t="s">
        <v>307</v>
      </c>
      <c r="E224" s="4" t="s">
        <v>0</v>
      </c>
      <c r="F224" s="4" t="s">
        <v>0</v>
      </c>
      <c r="G224" s="4" t="s">
        <v>5</v>
      </c>
      <c r="H224" s="4" t="s">
        <v>0</v>
      </c>
      <c r="I224" s="4" t="s">
        <v>5</v>
      </c>
      <c r="J224" s="4" t="s">
        <v>16</v>
      </c>
      <c r="K224" s="371">
        <v>2</v>
      </c>
    </row>
    <row r="225" spans="2:11" x14ac:dyDescent="0.2">
      <c r="B225" s="3">
        <v>406</v>
      </c>
      <c r="C225" s="4">
        <v>15.67</v>
      </c>
      <c r="D225" s="4" t="s">
        <v>308</v>
      </c>
      <c r="E225" s="4" t="s">
        <v>0</v>
      </c>
      <c r="F225" s="4" t="s">
        <v>0</v>
      </c>
      <c r="G225" s="4" t="s">
        <v>3</v>
      </c>
      <c r="H225" s="4" t="s">
        <v>1</v>
      </c>
      <c r="I225" s="4"/>
      <c r="J225" s="4" t="s">
        <v>16</v>
      </c>
      <c r="K225" s="371">
        <v>2</v>
      </c>
    </row>
    <row r="226" spans="2:11" x14ac:dyDescent="0.2">
      <c r="B226" s="3">
        <v>407</v>
      </c>
      <c r="C226" s="4">
        <v>15.67</v>
      </c>
      <c r="D226" s="4" t="s">
        <v>308</v>
      </c>
      <c r="E226" s="4" t="s">
        <v>0</v>
      </c>
      <c r="F226" s="4" t="s">
        <v>0</v>
      </c>
      <c r="G226" s="4" t="s">
        <v>4</v>
      </c>
      <c r="H226" s="4" t="s">
        <v>1</v>
      </c>
      <c r="I226" s="4"/>
      <c r="J226" s="4" t="s">
        <v>16</v>
      </c>
      <c r="K226" s="371">
        <v>2</v>
      </c>
    </row>
    <row r="227" spans="2:11" x14ac:dyDescent="0.2">
      <c r="B227" s="3">
        <v>408</v>
      </c>
      <c r="C227" s="4">
        <v>15.67</v>
      </c>
      <c r="D227" s="4" t="s">
        <v>308</v>
      </c>
      <c r="E227" s="4" t="s">
        <v>0</v>
      </c>
      <c r="F227" s="4" t="s">
        <v>0</v>
      </c>
      <c r="G227" s="4" t="s">
        <v>5</v>
      </c>
      <c r="H227" s="4" t="s">
        <v>1</v>
      </c>
      <c r="I227" s="4"/>
      <c r="J227" s="4" t="s">
        <v>16</v>
      </c>
      <c r="K227" s="371">
        <v>2</v>
      </c>
    </row>
    <row r="228" spans="2:11" x14ac:dyDescent="0.2">
      <c r="B228" s="3">
        <v>409</v>
      </c>
      <c r="C228" s="4">
        <v>15.67</v>
      </c>
      <c r="D228" s="4" t="s">
        <v>308</v>
      </c>
      <c r="E228" s="4" t="s">
        <v>0</v>
      </c>
      <c r="F228" s="4" t="s">
        <v>0</v>
      </c>
      <c r="G228" s="4" t="s">
        <v>3</v>
      </c>
      <c r="H228" s="4" t="s">
        <v>0</v>
      </c>
      <c r="I228" s="4" t="s">
        <v>3</v>
      </c>
      <c r="J228" s="4" t="s">
        <v>16</v>
      </c>
      <c r="K228" s="371">
        <v>2</v>
      </c>
    </row>
    <row r="229" spans="2:11" x14ac:dyDescent="0.2">
      <c r="B229" s="3">
        <v>410</v>
      </c>
      <c r="C229" s="4">
        <v>15.67</v>
      </c>
      <c r="D229" s="4" t="s">
        <v>308</v>
      </c>
      <c r="E229" s="4" t="s">
        <v>0</v>
      </c>
      <c r="F229" s="4" t="s">
        <v>0</v>
      </c>
      <c r="G229" s="4" t="s">
        <v>4</v>
      </c>
      <c r="H229" s="4" t="s">
        <v>0</v>
      </c>
      <c r="I229" s="4" t="s">
        <v>4</v>
      </c>
      <c r="J229" s="4" t="s">
        <v>16</v>
      </c>
      <c r="K229" s="371">
        <v>2</v>
      </c>
    </row>
    <row r="230" spans="2:11" x14ac:dyDescent="0.2">
      <c r="B230" s="3">
        <v>411</v>
      </c>
      <c r="C230" s="4">
        <v>15.67</v>
      </c>
      <c r="D230" s="4" t="s">
        <v>308</v>
      </c>
      <c r="E230" s="4" t="s">
        <v>0</v>
      </c>
      <c r="F230" s="4" t="s">
        <v>0</v>
      </c>
      <c r="G230" s="4" t="s">
        <v>5</v>
      </c>
      <c r="H230" s="4" t="s">
        <v>0</v>
      </c>
      <c r="I230" s="4" t="s">
        <v>5</v>
      </c>
      <c r="J230" s="4" t="s">
        <v>16</v>
      </c>
      <c r="K230" s="371">
        <v>2</v>
      </c>
    </row>
    <row r="231" spans="2:11" x14ac:dyDescent="0.2">
      <c r="B231" s="3"/>
      <c r="C231" s="4"/>
      <c r="D231" s="4"/>
      <c r="E231" s="4"/>
      <c r="F231" s="4"/>
      <c r="G231" s="4"/>
      <c r="H231" s="4"/>
      <c r="I231" s="4"/>
      <c r="J231" s="4"/>
      <c r="K231" s="371"/>
    </row>
    <row r="232" spans="2:11" x14ac:dyDescent="0.2">
      <c r="B232" s="3">
        <v>412</v>
      </c>
      <c r="C232" s="384">
        <v>2.85</v>
      </c>
      <c r="D232" s="4" t="s">
        <v>307</v>
      </c>
      <c r="E232" s="4" t="s">
        <v>0</v>
      </c>
      <c r="F232" s="4" t="s">
        <v>0</v>
      </c>
      <c r="G232" s="4" t="s">
        <v>3</v>
      </c>
      <c r="H232" s="4" t="s">
        <v>1</v>
      </c>
      <c r="I232" s="4"/>
      <c r="J232" s="4" t="s">
        <v>16</v>
      </c>
      <c r="K232" s="371">
        <v>2</v>
      </c>
    </row>
    <row r="233" spans="2:11" x14ac:dyDescent="0.2">
      <c r="B233" s="3">
        <v>413</v>
      </c>
      <c r="C233" s="384">
        <v>2.85</v>
      </c>
      <c r="D233" s="4" t="s">
        <v>307</v>
      </c>
      <c r="E233" s="4" t="s">
        <v>0</v>
      </c>
      <c r="F233" s="4" t="s">
        <v>0</v>
      </c>
      <c r="G233" s="4" t="s">
        <v>4</v>
      </c>
      <c r="H233" s="4" t="s">
        <v>1</v>
      </c>
      <c r="I233" s="4"/>
      <c r="J233" s="4" t="s">
        <v>16</v>
      </c>
      <c r="K233" s="371">
        <v>2</v>
      </c>
    </row>
    <row r="234" spans="2:11" x14ac:dyDescent="0.2">
      <c r="B234" s="3">
        <v>414</v>
      </c>
      <c r="C234" s="384">
        <v>2.85</v>
      </c>
      <c r="D234" s="4" t="s">
        <v>307</v>
      </c>
      <c r="E234" s="4" t="s">
        <v>0</v>
      </c>
      <c r="F234" s="4" t="s">
        <v>0</v>
      </c>
      <c r="G234" s="4" t="s">
        <v>5</v>
      </c>
      <c r="H234" s="4" t="s">
        <v>1</v>
      </c>
      <c r="I234" s="4"/>
      <c r="J234" s="4" t="s">
        <v>16</v>
      </c>
      <c r="K234" s="371">
        <v>2</v>
      </c>
    </row>
    <row r="235" spans="2:11" x14ac:dyDescent="0.2">
      <c r="B235" s="3">
        <v>415</v>
      </c>
      <c r="C235" s="384">
        <v>2.85</v>
      </c>
      <c r="D235" s="4" t="s">
        <v>307</v>
      </c>
      <c r="E235" s="4" t="s">
        <v>0</v>
      </c>
      <c r="F235" s="4" t="s">
        <v>0</v>
      </c>
      <c r="G235" s="4" t="s">
        <v>3</v>
      </c>
      <c r="H235" s="4" t="s">
        <v>0</v>
      </c>
      <c r="I235" s="4" t="s">
        <v>3</v>
      </c>
      <c r="J235" s="4" t="s">
        <v>16</v>
      </c>
      <c r="K235" s="371">
        <v>2</v>
      </c>
    </row>
    <row r="236" spans="2:11" x14ac:dyDescent="0.2">
      <c r="B236" s="3">
        <v>416</v>
      </c>
      <c r="C236" s="384">
        <v>2.85</v>
      </c>
      <c r="D236" s="4" t="s">
        <v>307</v>
      </c>
      <c r="E236" s="4" t="s">
        <v>0</v>
      </c>
      <c r="F236" s="4" t="s">
        <v>0</v>
      </c>
      <c r="G236" s="4" t="s">
        <v>4</v>
      </c>
      <c r="H236" s="4" t="s">
        <v>0</v>
      </c>
      <c r="I236" s="4" t="s">
        <v>4</v>
      </c>
      <c r="J236" s="4" t="s">
        <v>16</v>
      </c>
      <c r="K236" s="371">
        <v>2</v>
      </c>
    </row>
    <row r="237" spans="2:11" x14ac:dyDescent="0.2">
      <c r="B237" s="3">
        <v>417</v>
      </c>
      <c r="C237" s="384">
        <v>2.85</v>
      </c>
      <c r="D237" s="4" t="s">
        <v>307</v>
      </c>
      <c r="E237" s="4" t="s">
        <v>0</v>
      </c>
      <c r="F237" s="4" t="s">
        <v>0</v>
      </c>
      <c r="G237" s="4" t="s">
        <v>5</v>
      </c>
      <c r="H237" s="4" t="s">
        <v>0</v>
      </c>
      <c r="I237" s="4" t="s">
        <v>5</v>
      </c>
      <c r="J237" s="4" t="s">
        <v>16</v>
      </c>
      <c r="K237" s="371">
        <v>2</v>
      </c>
    </row>
    <row r="238" spans="2:11" x14ac:dyDescent="0.2">
      <c r="B238" s="3">
        <v>418</v>
      </c>
      <c r="C238" s="384">
        <v>2.85</v>
      </c>
      <c r="D238" s="4" t="s">
        <v>308</v>
      </c>
      <c r="E238" s="4" t="s">
        <v>0</v>
      </c>
      <c r="F238" s="4" t="s">
        <v>0</v>
      </c>
      <c r="G238" s="4" t="s">
        <v>3</v>
      </c>
      <c r="H238" s="4" t="s">
        <v>1</v>
      </c>
      <c r="I238" s="4"/>
      <c r="J238" s="4" t="s">
        <v>16</v>
      </c>
      <c r="K238" s="371">
        <v>2</v>
      </c>
    </row>
    <row r="239" spans="2:11" x14ac:dyDescent="0.2">
      <c r="B239" s="3">
        <v>419</v>
      </c>
      <c r="C239" s="384">
        <v>2.85</v>
      </c>
      <c r="D239" s="4" t="s">
        <v>308</v>
      </c>
      <c r="E239" s="4" t="s">
        <v>0</v>
      </c>
      <c r="F239" s="4" t="s">
        <v>0</v>
      </c>
      <c r="G239" s="4" t="s">
        <v>4</v>
      </c>
      <c r="H239" s="4" t="s">
        <v>1</v>
      </c>
      <c r="I239" s="4"/>
      <c r="J239" s="4" t="s">
        <v>16</v>
      </c>
      <c r="K239" s="371">
        <v>2</v>
      </c>
    </row>
    <row r="240" spans="2:11" x14ac:dyDescent="0.2">
      <c r="B240" s="3">
        <v>420</v>
      </c>
      <c r="C240" s="384">
        <v>2.85</v>
      </c>
      <c r="D240" s="4" t="s">
        <v>308</v>
      </c>
      <c r="E240" s="4" t="s">
        <v>0</v>
      </c>
      <c r="F240" s="4" t="s">
        <v>0</v>
      </c>
      <c r="G240" s="4" t="s">
        <v>5</v>
      </c>
      <c r="H240" s="4" t="s">
        <v>1</v>
      </c>
      <c r="I240" s="4"/>
      <c r="J240" s="4" t="s">
        <v>16</v>
      </c>
      <c r="K240" s="371">
        <v>2</v>
      </c>
    </row>
    <row r="241" spans="2:11" x14ac:dyDescent="0.2">
      <c r="B241" s="3">
        <v>421</v>
      </c>
      <c r="C241" s="384">
        <v>2.85</v>
      </c>
      <c r="D241" s="4" t="s">
        <v>308</v>
      </c>
      <c r="E241" s="4" t="s">
        <v>0</v>
      </c>
      <c r="F241" s="4" t="s">
        <v>0</v>
      </c>
      <c r="G241" s="4" t="s">
        <v>3</v>
      </c>
      <c r="H241" s="4" t="s">
        <v>0</v>
      </c>
      <c r="I241" s="4" t="s">
        <v>3</v>
      </c>
      <c r="J241" s="4" t="s">
        <v>16</v>
      </c>
      <c r="K241" s="371">
        <v>2</v>
      </c>
    </row>
    <row r="242" spans="2:11" x14ac:dyDescent="0.2">
      <c r="B242" s="3">
        <v>422</v>
      </c>
      <c r="C242" s="384">
        <v>2.85</v>
      </c>
      <c r="D242" s="4" t="s">
        <v>308</v>
      </c>
      <c r="E242" s="4" t="s">
        <v>0</v>
      </c>
      <c r="F242" s="4" t="s">
        <v>0</v>
      </c>
      <c r="G242" s="4" t="s">
        <v>4</v>
      </c>
      <c r="H242" s="4" t="s">
        <v>0</v>
      </c>
      <c r="I242" s="4" t="s">
        <v>4</v>
      </c>
      <c r="J242" s="4" t="s">
        <v>16</v>
      </c>
      <c r="K242" s="371">
        <v>2</v>
      </c>
    </row>
    <row r="243" spans="2:11" x14ac:dyDescent="0.2">
      <c r="B243" s="3">
        <v>423</v>
      </c>
      <c r="C243" s="384">
        <v>2.85</v>
      </c>
      <c r="D243" s="4" t="s">
        <v>308</v>
      </c>
      <c r="E243" s="4" t="s">
        <v>0</v>
      </c>
      <c r="F243" s="4" t="s">
        <v>0</v>
      </c>
      <c r="G243" s="4" t="s">
        <v>5</v>
      </c>
      <c r="H243" s="4" t="s">
        <v>0</v>
      </c>
      <c r="I243" s="4" t="s">
        <v>5</v>
      </c>
      <c r="J243" s="4" t="s">
        <v>16</v>
      </c>
      <c r="K243" s="371">
        <v>2</v>
      </c>
    </row>
    <row r="244" spans="2:11" x14ac:dyDescent="0.2">
      <c r="B244" s="3"/>
      <c r="C244" s="4"/>
      <c r="D244" s="4"/>
      <c r="E244" s="384"/>
      <c r="F244" s="4"/>
      <c r="G244" s="4"/>
      <c r="H244" s="4"/>
      <c r="I244" s="4"/>
      <c r="J244" s="4"/>
      <c r="K244" s="371"/>
    </row>
    <row r="245" spans="2:11" x14ac:dyDescent="0.2">
      <c r="B245" s="3">
        <v>424</v>
      </c>
      <c r="C245" s="384">
        <v>1</v>
      </c>
      <c r="D245" s="4" t="s">
        <v>307</v>
      </c>
      <c r="E245" s="4" t="s">
        <v>0</v>
      </c>
      <c r="F245" s="4" t="s">
        <v>0</v>
      </c>
      <c r="G245" s="4" t="s">
        <v>3</v>
      </c>
      <c r="H245" s="4" t="s">
        <v>1</v>
      </c>
      <c r="I245" s="4"/>
      <c r="J245" s="4" t="s">
        <v>16</v>
      </c>
      <c r="K245" s="371">
        <v>2</v>
      </c>
    </row>
    <row r="246" spans="2:11" x14ac:dyDescent="0.2">
      <c r="B246" s="3">
        <v>425</v>
      </c>
      <c r="C246" s="384">
        <v>1</v>
      </c>
      <c r="D246" s="4" t="s">
        <v>307</v>
      </c>
      <c r="E246" s="4" t="s">
        <v>0</v>
      </c>
      <c r="F246" s="4" t="s">
        <v>0</v>
      </c>
      <c r="G246" s="4" t="s">
        <v>4</v>
      </c>
      <c r="H246" s="4" t="s">
        <v>1</v>
      </c>
      <c r="I246" s="4"/>
      <c r="J246" s="4" t="s">
        <v>16</v>
      </c>
      <c r="K246" s="371">
        <v>2</v>
      </c>
    </row>
    <row r="247" spans="2:11" x14ac:dyDescent="0.2">
      <c r="B247" s="3">
        <v>426</v>
      </c>
      <c r="C247" s="384">
        <v>1</v>
      </c>
      <c r="D247" s="4" t="s">
        <v>307</v>
      </c>
      <c r="E247" s="4" t="s">
        <v>0</v>
      </c>
      <c r="F247" s="4" t="s">
        <v>0</v>
      </c>
      <c r="G247" s="4" t="s">
        <v>5</v>
      </c>
      <c r="H247" s="4" t="s">
        <v>1</v>
      </c>
      <c r="I247" s="4"/>
      <c r="J247" s="4" t="s">
        <v>16</v>
      </c>
      <c r="K247" s="371">
        <v>2</v>
      </c>
    </row>
    <row r="248" spans="2:11" x14ac:dyDescent="0.2">
      <c r="B248" s="3">
        <v>427</v>
      </c>
      <c r="C248" s="384">
        <v>1</v>
      </c>
      <c r="D248" s="4" t="s">
        <v>307</v>
      </c>
      <c r="E248" s="4" t="s">
        <v>0</v>
      </c>
      <c r="F248" s="4" t="s">
        <v>0</v>
      </c>
      <c r="G248" s="4" t="s">
        <v>3</v>
      </c>
      <c r="H248" s="4" t="s">
        <v>0</v>
      </c>
      <c r="I248" s="4" t="s">
        <v>3</v>
      </c>
      <c r="J248" s="4" t="s">
        <v>16</v>
      </c>
      <c r="K248" s="371">
        <v>2</v>
      </c>
    </row>
    <row r="249" spans="2:11" x14ac:dyDescent="0.2">
      <c r="B249" s="3">
        <v>428</v>
      </c>
      <c r="C249" s="384">
        <v>1</v>
      </c>
      <c r="D249" s="4" t="s">
        <v>307</v>
      </c>
      <c r="E249" s="4" t="s">
        <v>0</v>
      </c>
      <c r="F249" s="4" t="s">
        <v>0</v>
      </c>
      <c r="G249" s="4" t="s">
        <v>4</v>
      </c>
      <c r="H249" s="4" t="s">
        <v>0</v>
      </c>
      <c r="I249" s="4" t="s">
        <v>4</v>
      </c>
      <c r="J249" s="4" t="s">
        <v>16</v>
      </c>
      <c r="K249" s="371">
        <v>2</v>
      </c>
    </row>
    <row r="250" spans="2:11" x14ac:dyDescent="0.2">
      <c r="B250" s="3">
        <v>429</v>
      </c>
      <c r="C250" s="384">
        <v>1</v>
      </c>
      <c r="D250" s="4" t="s">
        <v>307</v>
      </c>
      <c r="E250" s="4" t="s">
        <v>0</v>
      </c>
      <c r="F250" s="4" t="s">
        <v>0</v>
      </c>
      <c r="G250" s="4" t="s">
        <v>5</v>
      </c>
      <c r="H250" s="4" t="s">
        <v>0</v>
      </c>
      <c r="I250" s="4" t="s">
        <v>5</v>
      </c>
      <c r="J250" s="4" t="s">
        <v>16</v>
      </c>
      <c r="K250" s="371">
        <v>2</v>
      </c>
    </row>
    <row r="251" spans="2:11" x14ac:dyDescent="0.2">
      <c r="B251" s="3">
        <v>430</v>
      </c>
      <c r="C251" s="384">
        <v>1</v>
      </c>
      <c r="D251" s="4" t="s">
        <v>308</v>
      </c>
      <c r="E251" s="4" t="s">
        <v>0</v>
      </c>
      <c r="F251" s="4" t="s">
        <v>0</v>
      </c>
      <c r="G251" s="4" t="s">
        <v>3</v>
      </c>
      <c r="H251" s="4" t="s">
        <v>1</v>
      </c>
      <c r="I251" s="4"/>
      <c r="J251" s="4" t="s">
        <v>16</v>
      </c>
      <c r="K251" s="371">
        <v>2</v>
      </c>
    </row>
    <row r="252" spans="2:11" x14ac:dyDescent="0.2">
      <c r="B252" s="3">
        <v>431</v>
      </c>
      <c r="C252" s="384">
        <v>1</v>
      </c>
      <c r="D252" s="4" t="s">
        <v>308</v>
      </c>
      <c r="E252" s="4" t="s">
        <v>0</v>
      </c>
      <c r="F252" s="4" t="s">
        <v>0</v>
      </c>
      <c r="G252" s="4" t="s">
        <v>4</v>
      </c>
      <c r="H252" s="4" t="s">
        <v>1</v>
      </c>
      <c r="I252" s="4"/>
      <c r="J252" s="4" t="s">
        <v>16</v>
      </c>
      <c r="K252" s="371">
        <v>2</v>
      </c>
    </row>
    <row r="253" spans="2:11" x14ac:dyDescent="0.2">
      <c r="B253" s="3">
        <v>432</v>
      </c>
      <c r="C253" s="384">
        <v>1</v>
      </c>
      <c r="D253" s="4" t="s">
        <v>308</v>
      </c>
      <c r="E253" s="4" t="s">
        <v>0</v>
      </c>
      <c r="F253" s="4" t="s">
        <v>0</v>
      </c>
      <c r="G253" s="4" t="s">
        <v>5</v>
      </c>
      <c r="H253" s="4" t="s">
        <v>1</v>
      </c>
      <c r="I253" s="4"/>
      <c r="J253" s="4" t="s">
        <v>16</v>
      </c>
      <c r="K253" s="371">
        <v>2</v>
      </c>
    </row>
    <row r="254" spans="2:11" x14ac:dyDescent="0.2">
      <c r="B254" s="3">
        <v>433</v>
      </c>
      <c r="C254" s="384">
        <v>1</v>
      </c>
      <c r="D254" s="4" t="s">
        <v>308</v>
      </c>
      <c r="E254" s="4" t="s">
        <v>0</v>
      </c>
      <c r="F254" s="4" t="s">
        <v>0</v>
      </c>
      <c r="G254" s="4" t="s">
        <v>3</v>
      </c>
      <c r="H254" s="4" t="s">
        <v>0</v>
      </c>
      <c r="I254" s="4" t="s">
        <v>3</v>
      </c>
      <c r="J254" s="4" t="s">
        <v>16</v>
      </c>
      <c r="K254" s="371">
        <v>2</v>
      </c>
    </row>
    <row r="255" spans="2:11" x14ac:dyDescent="0.2">
      <c r="B255" s="3">
        <v>434</v>
      </c>
      <c r="C255" s="384">
        <v>1</v>
      </c>
      <c r="D255" s="4" t="s">
        <v>308</v>
      </c>
      <c r="E255" s="4" t="s">
        <v>0</v>
      </c>
      <c r="F255" s="4" t="s">
        <v>0</v>
      </c>
      <c r="G255" s="4" t="s">
        <v>4</v>
      </c>
      <c r="H255" s="4" t="s">
        <v>0</v>
      </c>
      <c r="I255" s="4" t="s">
        <v>4</v>
      </c>
      <c r="J255" s="4" t="s">
        <v>16</v>
      </c>
      <c r="K255" s="371">
        <v>2</v>
      </c>
    </row>
    <row r="256" spans="2:11" x14ac:dyDescent="0.2">
      <c r="B256" s="3">
        <v>435</v>
      </c>
      <c r="C256" s="384">
        <v>1</v>
      </c>
      <c r="D256" s="4" t="s">
        <v>308</v>
      </c>
      <c r="E256" s="4" t="s">
        <v>0</v>
      </c>
      <c r="F256" s="4" t="s">
        <v>0</v>
      </c>
      <c r="G256" s="4" t="s">
        <v>5</v>
      </c>
      <c r="H256" s="4" t="s">
        <v>0</v>
      </c>
      <c r="I256" s="4" t="s">
        <v>5</v>
      </c>
      <c r="J256" s="4" t="s">
        <v>16</v>
      </c>
      <c r="K256" s="371">
        <v>2</v>
      </c>
    </row>
    <row r="257" spans="2:11" x14ac:dyDescent="0.2">
      <c r="B257" s="3"/>
      <c r="C257" s="4"/>
      <c r="D257" s="4"/>
      <c r="E257" s="384"/>
      <c r="F257" s="4"/>
      <c r="G257" s="4"/>
      <c r="H257" s="4"/>
      <c r="I257" s="4"/>
      <c r="J257" s="4"/>
      <c r="K257" s="371"/>
    </row>
    <row r="258" spans="2:11" x14ac:dyDescent="0.2">
      <c r="B258" s="3">
        <v>436</v>
      </c>
      <c r="C258" s="384">
        <v>0.53</v>
      </c>
      <c r="D258" s="4" t="s">
        <v>307</v>
      </c>
      <c r="E258" s="4" t="s">
        <v>0</v>
      </c>
      <c r="F258" s="4" t="s">
        <v>0</v>
      </c>
      <c r="G258" s="4" t="s">
        <v>3</v>
      </c>
      <c r="H258" s="4" t="s">
        <v>1</v>
      </c>
      <c r="I258" s="4"/>
      <c r="J258" s="4" t="s">
        <v>16</v>
      </c>
      <c r="K258" s="371">
        <v>2</v>
      </c>
    </row>
    <row r="259" spans="2:11" x14ac:dyDescent="0.2">
      <c r="B259" s="3">
        <v>437</v>
      </c>
      <c r="C259" s="384">
        <v>0.53</v>
      </c>
      <c r="D259" s="4" t="s">
        <v>307</v>
      </c>
      <c r="E259" s="4" t="s">
        <v>0</v>
      </c>
      <c r="F259" s="4" t="s">
        <v>0</v>
      </c>
      <c r="G259" s="4" t="s">
        <v>4</v>
      </c>
      <c r="H259" s="4" t="s">
        <v>1</v>
      </c>
      <c r="I259" s="4"/>
      <c r="J259" s="4" t="s">
        <v>16</v>
      </c>
      <c r="K259" s="371">
        <v>2</v>
      </c>
    </row>
    <row r="260" spans="2:11" x14ac:dyDescent="0.2">
      <c r="B260" s="3">
        <v>438</v>
      </c>
      <c r="C260" s="384">
        <v>0.53</v>
      </c>
      <c r="D260" s="4" t="s">
        <v>307</v>
      </c>
      <c r="E260" s="4" t="s">
        <v>0</v>
      </c>
      <c r="F260" s="4" t="s">
        <v>0</v>
      </c>
      <c r="G260" s="4" t="s">
        <v>5</v>
      </c>
      <c r="H260" s="4" t="s">
        <v>1</v>
      </c>
      <c r="I260" s="4"/>
      <c r="J260" s="4" t="s">
        <v>16</v>
      </c>
      <c r="K260" s="371">
        <v>2</v>
      </c>
    </row>
    <row r="261" spans="2:11" x14ac:dyDescent="0.2">
      <c r="B261" s="3">
        <v>439</v>
      </c>
      <c r="C261" s="384">
        <v>0.53</v>
      </c>
      <c r="D261" s="4" t="s">
        <v>307</v>
      </c>
      <c r="E261" s="4" t="s">
        <v>0</v>
      </c>
      <c r="F261" s="4" t="s">
        <v>0</v>
      </c>
      <c r="G261" s="4" t="s">
        <v>3</v>
      </c>
      <c r="H261" s="4" t="s">
        <v>0</v>
      </c>
      <c r="I261" s="4" t="s">
        <v>3</v>
      </c>
      <c r="J261" s="4" t="s">
        <v>16</v>
      </c>
      <c r="K261" s="371">
        <v>2</v>
      </c>
    </row>
    <row r="262" spans="2:11" x14ac:dyDescent="0.2">
      <c r="B262" s="3">
        <v>440</v>
      </c>
      <c r="C262" s="384">
        <v>0.53</v>
      </c>
      <c r="D262" s="4" t="s">
        <v>307</v>
      </c>
      <c r="E262" s="4" t="s">
        <v>0</v>
      </c>
      <c r="F262" s="4" t="s">
        <v>0</v>
      </c>
      <c r="G262" s="4" t="s">
        <v>4</v>
      </c>
      <c r="H262" s="4" t="s">
        <v>0</v>
      </c>
      <c r="I262" s="4" t="s">
        <v>4</v>
      </c>
      <c r="J262" s="4" t="s">
        <v>16</v>
      </c>
      <c r="K262" s="371">
        <v>2</v>
      </c>
    </row>
    <row r="263" spans="2:11" x14ac:dyDescent="0.2">
      <c r="B263" s="3">
        <v>441</v>
      </c>
      <c r="C263" s="384">
        <v>0.53</v>
      </c>
      <c r="D263" s="4" t="s">
        <v>307</v>
      </c>
      <c r="E263" s="4" t="s">
        <v>0</v>
      </c>
      <c r="F263" s="4" t="s">
        <v>0</v>
      </c>
      <c r="G263" s="4" t="s">
        <v>5</v>
      </c>
      <c r="H263" s="4" t="s">
        <v>0</v>
      </c>
      <c r="I263" s="4" t="s">
        <v>5</v>
      </c>
      <c r="J263" s="4" t="s">
        <v>16</v>
      </c>
      <c r="K263" s="371">
        <v>2</v>
      </c>
    </row>
    <row r="264" spans="2:11" x14ac:dyDescent="0.2">
      <c r="B264" s="3">
        <v>442</v>
      </c>
      <c r="C264" s="384">
        <v>0.53</v>
      </c>
      <c r="D264" s="4" t="s">
        <v>308</v>
      </c>
      <c r="E264" s="4" t="s">
        <v>0</v>
      </c>
      <c r="F264" s="4" t="s">
        <v>0</v>
      </c>
      <c r="G264" s="4" t="s">
        <v>3</v>
      </c>
      <c r="H264" s="4" t="s">
        <v>1</v>
      </c>
      <c r="I264" s="4"/>
      <c r="J264" s="4" t="s">
        <v>16</v>
      </c>
      <c r="K264" s="371">
        <v>2</v>
      </c>
    </row>
    <row r="265" spans="2:11" x14ac:dyDescent="0.2">
      <c r="B265" s="3">
        <v>443</v>
      </c>
      <c r="C265" s="384">
        <v>0.53</v>
      </c>
      <c r="D265" s="4" t="s">
        <v>308</v>
      </c>
      <c r="E265" s="4" t="s">
        <v>0</v>
      </c>
      <c r="F265" s="4" t="s">
        <v>0</v>
      </c>
      <c r="G265" s="4" t="s">
        <v>4</v>
      </c>
      <c r="H265" s="4" t="s">
        <v>1</v>
      </c>
      <c r="I265" s="4"/>
      <c r="J265" s="4" t="s">
        <v>16</v>
      </c>
      <c r="K265" s="371">
        <v>2</v>
      </c>
    </row>
    <row r="266" spans="2:11" x14ac:dyDescent="0.2">
      <c r="B266" s="3">
        <v>444</v>
      </c>
      <c r="C266" s="384">
        <v>0.53</v>
      </c>
      <c r="D266" s="4" t="s">
        <v>308</v>
      </c>
      <c r="E266" s="4" t="s">
        <v>0</v>
      </c>
      <c r="F266" s="4" t="s">
        <v>0</v>
      </c>
      <c r="G266" s="4" t="s">
        <v>5</v>
      </c>
      <c r="H266" s="4" t="s">
        <v>1</v>
      </c>
      <c r="I266" s="4"/>
      <c r="J266" s="4" t="s">
        <v>16</v>
      </c>
      <c r="K266" s="371">
        <v>2</v>
      </c>
    </row>
    <row r="267" spans="2:11" x14ac:dyDescent="0.2">
      <c r="B267" s="3">
        <v>445</v>
      </c>
      <c r="C267" s="384">
        <v>0.53</v>
      </c>
      <c r="D267" s="4" t="s">
        <v>308</v>
      </c>
      <c r="E267" s="4" t="s">
        <v>0</v>
      </c>
      <c r="F267" s="4" t="s">
        <v>0</v>
      </c>
      <c r="G267" s="4" t="s">
        <v>3</v>
      </c>
      <c r="H267" s="4" t="s">
        <v>0</v>
      </c>
      <c r="I267" s="4" t="s">
        <v>3</v>
      </c>
      <c r="J267" s="4" t="s">
        <v>16</v>
      </c>
      <c r="K267" s="371">
        <v>2</v>
      </c>
    </row>
    <row r="268" spans="2:11" x14ac:dyDescent="0.2">
      <c r="B268" s="3">
        <v>446</v>
      </c>
      <c r="C268" s="384">
        <v>0.53</v>
      </c>
      <c r="D268" s="4" t="s">
        <v>308</v>
      </c>
      <c r="E268" s="4" t="s">
        <v>0</v>
      </c>
      <c r="F268" s="4" t="s">
        <v>0</v>
      </c>
      <c r="G268" s="4" t="s">
        <v>4</v>
      </c>
      <c r="H268" s="4" t="s">
        <v>0</v>
      </c>
      <c r="I268" s="4" t="s">
        <v>4</v>
      </c>
      <c r="J268" s="4" t="s">
        <v>16</v>
      </c>
      <c r="K268" s="371">
        <v>2</v>
      </c>
    </row>
    <row r="269" spans="2:11" x14ac:dyDescent="0.2">
      <c r="B269" s="3">
        <v>447</v>
      </c>
      <c r="C269" s="384">
        <v>0.53</v>
      </c>
      <c r="D269" s="4" t="s">
        <v>308</v>
      </c>
      <c r="E269" s="4" t="s">
        <v>0</v>
      </c>
      <c r="F269" s="4" t="s">
        <v>0</v>
      </c>
      <c r="G269" s="4" t="s">
        <v>5</v>
      </c>
      <c r="H269" s="4" t="s">
        <v>0</v>
      </c>
      <c r="I269" s="4" t="s">
        <v>5</v>
      </c>
      <c r="J269" s="4" t="s">
        <v>16</v>
      </c>
      <c r="K269" s="371">
        <v>2</v>
      </c>
    </row>
    <row r="270" spans="2:11" x14ac:dyDescent="0.2">
      <c r="B270" s="3"/>
      <c r="C270" s="384"/>
      <c r="D270" s="4"/>
      <c r="E270" s="4"/>
      <c r="F270" s="4"/>
      <c r="G270" s="4"/>
      <c r="H270" s="4"/>
      <c r="I270" s="4"/>
      <c r="J270" s="4"/>
      <c r="K270" s="371"/>
    </row>
    <row r="271" spans="2:11" x14ac:dyDescent="0.2">
      <c r="B271" s="3">
        <v>450</v>
      </c>
      <c r="C271" s="384">
        <v>15.67</v>
      </c>
      <c r="D271" s="4" t="s">
        <v>307</v>
      </c>
      <c r="E271" s="4" t="s">
        <v>0</v>
      </c>
      <c r="F271" s="4" t="s">
        <v>0</v>
      </c>
      <c r="G271" s="4" t="s">
        <v>3</v>
      </c>
      <c r="H271" s="4" t="s">
        <v>1</v>
      </c>
      <c r="I271" s="4"/>
      <c r="J271" s="4" t="s">
        <v>16</v>
      </c>
      <c r="K271" s="371">
        <v>3</v>
      </c>
    </row>
    <row r="272" spans="2:11" x14ac:dyDescent="0.2">
      <c r="B272" s="3">
        <v>451</v>
      </c>
      <c r="C272" s="4">
        <v>15.67</v>
      </c>
      <c r="D272" s="4" t="s">
        <v>307</v>
      </c>
      <c r="E272" s="4" t="s">
        <v>0</v>
      </c>
      <c r="F272" s="4" t="s">
        <v>0</v>
      </c>
      <c r="G272" s="4" t="s">
        <v>4</v>
      </c>
      <c r="H272" s="4" t="s">
        <v>1</v>
      </c>
      <c r="I272" s="4"/>
      <c r="J272" s="4" t="s">
        <v>16</v>
      </c>
      <c r="K272" s="371">
        <v>3</v>
      </c>
    </row>
    <row r="273" spans="2:11" x14ac:dyDescent="0.2">
      <c r="B273" s="3">
        <v>452</v>
      </c>
      <c r="C273" s="4">
        <v>15.67</v>
      </c>
      <c r="D273" s="4" t="s">
        <v>307</v>
      </c>
      <c r="E273" s="4" t="s">
        <v>0</v>
      </c>
      <c r="F273" s="4" t="s">
        <v>0</v>
      </c>
      <c r="G273" s="4" t="s">
        <v>5</v>
      </c>
      <c r="H273" s="4" t="s">
        <v>1</v>
      </c>
      <c r="I273" s="4"/>
      <c r="J273" s="4" t="s">
        <v>16</v>
      </c>
      <c r="K273" s="371">
        <v>3</v>
      </c>
    </row>
    <row r="274" spans="2:11" x14ac:dyDescent="0.2">
      <c r="B274" s="3">
        <v>453</v>
      </c>
      <c r="C274" s="4">
        <v>15.67</v>
      </c>
      <c r="D274" s="4" t="s">
        <v>307</v>
      </c>
      <c r="E274" s="4" t="s">
        <v>0</v>
      </c>
      <c r="F274" s="4" t="s">
        <v>0</v>
      </c>
      <c r="G274" s="4" t="s">
        <v>3</v>
      </c>
      <c r="H274" s="4" t="s">
        <v>0</v>
      </c>
      <c r="I274" s="4" t="s">
        <v>3</v>
      </c>
      <c r="J274" s="4" t="s">
        <v>16</v>
      </c>
      <c r="K274" s="371">
        <v>3</v>
      </c>
    </row>
    <row r="275" spans="2:11" x14ac:dyDescent="0.2">
      <c r="B275" s="3">
        <v>454</v>
      </c>
      <c r="C275" s="4">
        <v>15.67</v>
      </c>
      <c r="D275" s="4" t="s">
        <v>307</v>
      </c>
      <c r="E275" s="4" t="s">
        <v>0</v>
      </c>
      <c r="F275" s="4" t="s">
        <v>0</v>
      </c>
      <c r="G275" s="4" t="s">
        <v>4</v>
      </c>
      <c r="H275" s="4" t="s">
        <v>0</v>
      </c>
      <c r="I275" s="4" t="s">
        <v>4</v>
      </c>
      <c r="J275" s="4" t="s">
        <v>16</v>
      </c>
      <c r="K275" s="371">
        <v>3</v>
      </c>
    </row>
    <row r="276" spans="2:11" x14ac:dyDescent="0.2">
      <c r="B276" s="3">
        <v>455</v>
      </c>
      <c r="C276" s="4">
        <v>15.67</v>
      </c>
      <c r="D276" s="4" t="s">
        <v>307</v>
      </c>
      <c r="E276" s="4" t="s">
        <v>0</v>
      </c>
      <c r="F276" s="4" t="s">
        <v>0</v>
      </c>
      <c r="G276" s="4" t="s">
        <v>5</v>
      </c>
      <c r="H276" s="4" t="s">
        <v>0</v>
      </c>
      <c r="I276" s="4" t="s">
        <v>5</v>
      </c>
      <c r="J276" s="4" t="s">
        <v>16</v>
      </c>
      <c r="K276" s="371">
        <v>3</v>
      </c>
    </row>
    <row r="277" spans="2:11" x14ac:dyDescent="0.2">
      <c r="B277" s="3">
        <v>456</v>
      </c>
      <c r="C277" s="4">
        <v>15.67</v>
      </c>
      <c r="D277" s="4" t="s">
        <v>308</v>
      </c>
      <c r="E277" s="4" t="s">
        <v>0</v>
      </c>
      <c r="F277" s="4" t="s">
        <v>0</v>
      </c>
      <c r="G277" s="4" t="s">
        <v>3</v>
      </c>
      <c r="H277" s="4" t="s">
        <v>1</v>
      </c>
      <c r="I277" s="4"/>
      <c r="J277" s="4" t="s">
        <v>16</v>
      </c>
      <c r="K277" s="371">
        <v>3</v>
      </c>
    </row>
    <row r="278" spans="2:11" x14ac:dyDescent="0.2">
      <c r="B278" s="3">
        <v>457</v>
      </c>
      <c r="C278" s="4">
        <v>15.67</v>
      </c>
      <c r="D278" s="4" t="s">
        <v>308</v>
      </c>
      <c r="E278" s="4" t="s">
        <v>0</v>
      </c>
      <c r="F278" s="4" t="s">
        <v>0</v>
      </c>
      <c r="G278" s="4" t="s">
        <v>4</v>
      </c>
      <c r="H278" s="4" t="s">
        <v>1</v>
      </c>
      <c r="I278" s="4"/>
      <c r="J278" s="4" t="s">
        <v>16</v>
      </c>
      <c r="K278" s="371">
        <v>3</v>
      </c>
    </row>
    <row r="279" spans="2:11" x14ac:dyDescent="0.2">
      <c r="B279" s="3">
        <v>458</v>
      </c>
      <c r="C279" s="4">
        <v>15.67</v>
      </c>
      <c r="D279" s="4" t="s">
        <v>308</v>
      </c>
      <c r="E279" s="4" t="s">
        <v>0</v>
      </c>
      <c r="F279" s="4" t="s">
        <v>0</v>
      </c>
      <c r="G279" s="4" t="s">
        <v>5</v>
      </c>
      <c r="H279" s="4" t="s">
        <v>1</v>
      </c>
      <c r="I279" s="4"/>
      <c r="J279" s="4" t="s">
        <v>16</v>
      </c>
      <c r="K279" s="371">
        <v>3</v>
      </c>
    </row>
    <row r="280" spans="2:11" x14ac:dyDescent="0.2">
      <c r="B280" s="3">
        <v>459</v>
      </c>
      <c r="C280" s="4">
        <v>15.67</v>
      </c>
      <c r="D280" s="4" t="s">
        <v>308</v>
      </c>
      <c r="E280" s="4" t="s">
        <v>0</v>
      </c>
      <c r="F280" s="4" t="s">
        <v>0</v>
      </c>
      <c r="G280" s="4" t="s">
        <v>3</v>
      </c>
      <c r="H280" s="4" t="s">
        <v>0</v>
      </c>
      <c r="I280" s="4" t="s">
        <v>3</v>
      </c>
      <c r="J280" s="4" t="s">
        <v>16</v>
      </c>
      <c r="K280" s="371">
        <v>3</v>
      </c>
    </row>
    <row r="281" spans="2:11" x14ac:dyDescent="0.2">
      <c r="B281" s="3">
        <v>460</v>
      </c>
      <c r="C281" s="4">
        <v>15.67</v>
      </c>
      <c r="D281" s="4" t="s">
        <v>308</v>
      </c>
      <c r="E281" s="4" t="s">
        <v>0</v>
      </c>
      <c r="F281" s="4" t="s">
        <v>0</v>
      </c>
      <c r="G281" s="4" t="s">
        <v>4</v>
      </c>
      <c r="H281" s="4" t="s">
        <v>0</v>
      </c>
      <c r="I281" s="4" t="s">
        <v>4</v>
      </c>
      <c r="J281" s="4" t="s">
        <v>16</v>
      </c>
      <c r="K281" s="371">
        <v>3</v>
      </c>
    </row>
    <row r="282" spans="2:11" x14ac:dyDescent="0.2">
      <c r="B282" s="3">
        <v>461</v>
      </c>
      <c r="C282" s="4">
        <v>15.67</v>
      </c>
      <c r="D282" s="4" t="s">
        <v>308</v>
      </c>
      <c r="E282" s="4" t="s">
        <v>0</v>
      </c>
      <c r="F282" s="4" t="s">
        <v>0</v>
      </c>
      <c r="G282" s="4" t="s">
        <v>5</v>
      </c>
      <c r="H282" s="4" t="s">
        <v>0</v>
      </c>
      <c r="I282" s="4" t="s">
        <v>5</v>
      </c>
      <c r="J282" s="4" t="s">
        <v>16</v>
      </c>
      <c r="K282" s="371">
        <v>3</v>
      </c>
    </row>
    <row r="283" spans="2:11" x14ac:dyDescent="0.2">
      <c r="B283" s="3"/>
      <c r="C283" s="4"/>
      <c r="D283" s="4"/>
      <c r="E283" s="4"/>
      <c r="F283" s="4"/>
      <c r="G283" s="4"/>
      <c r="H283" s="4"/>
      <c r="I283" s="4"/>
      <c r="J283" s="4"/>
      <c r="K283" s="371"/>
    </row>
    <row r="284" spans="2:11" x14ac:dyDescent="0.2">
      <c r="B284" s="3">
        <v>462</v>
      </c>
      <c r="C284" s="384">
        <v>2.85</v>
      </c>
      <c r="D284" s="4" t="s">
        <v>307</v>
      </c>
      <c r="E284" s="4" t="s">
        <v>0</v>
      </c>
      <c r="F284" s="4" t="s">
        <v>0</v>
      </c>
      <c r="G284" s="4" t="s">
        <v>3</v>
      </c>
      <c r="H284" s="4" t="s">
        <v>1</v>
      </c>
      <c r="I284" s="4"/>
      <c r="J284" s="4" t="s">
        <v>16</v>
      </c>
      <c r="K284" s="371">
        <v>3</v>
      </c>
    </row>
    <row r="285" spans="2:11" x14ac:dyDescent="0.2">
      <c r="B285" s="3">
        <v>463</v>
      </c>
      <c r="C285" s="384">
        <v>2.85</v>
      </c>
      <c r="D285" s="4" t="s">
        <v>307</v>
      </c>
      <c r="E285" s="4" t="s">
        <v>0</v>
      </c>
      <c r="F285" s="4" t="s">
        <v>0</v>
      </c>
      <c r="G285" s="4" t="s">
        <v>4</v>
      </c>
      <c r="H285" s="4" t="s">
        <v>1</v>
      </c>
      <c r="I285" s="4"/>
      <c r="J285" s="4" t="s">
        <v>16</v>
      </c>
      <c r="K285" s="371">
        <v>3</v>
      </c>
    </row>
    <row r="286" spans="2:11" x14ac:dyDescent="0.2">
      <c r="B286" s="3">
        <v>464</v>
      </c>
      <c r="C286" s="384">
        <v>2.85</v>
      </c>
      <c r="D286" s="4" t="s">
        <v>307</v>
      </c>
      <c r="E286" s="4" t="s">
        <v>0</v>
      </c>
      <c r="F286" s="4" t="s">
        <v>0</v>
      </c>
      <c r="G286" s="4" t="s">
        <v>5</v>
      </c>
      <c r="H286" s="4" t="s">
        <v>1</v>
      </c>
      <c r="I286" s="4"/>
      <c r="J286" s="4" t="s">
        <v>16</v>
      </c>
      <c r="K286" s="371">
        <v>3</v>
      </c>
    </row>
    <row r="287" spans="2:11" x14ac:dyDescent="0.2">
      <c r="B287" s="3">
        <v>465</v>
      </c>
      <c r="C287" s="384">
        <v>2.85</v>
      </c>
      <c r="D287" s="4" t="s">
        <v>307</v>
      </c>
      <c r="E287" s="4" t="s">
        <v>0</v>
      </c>
      <c r="F287" s="4" t="s">
        <v>0</v>
      </c>
      <c r="G287" s="4" t="s">
        <v>3</v>
      </c>
      <c r="H287" s="4" t="s">
        <v>0</v>
      </c>
      <c r="I287" s="4" t="s">
        <v>3</v>
      </c>
      <c r="J287" s="4" t="s">
        <v>16</v>
      </c>
      <c r="K287" s="371">
        <v>3</v>
      </c>
    </row>
    <row r="288" spans="2:11" x14ac:dyDescent="0.2">
      <c r="B288" s="3">
        <v>466</v>
      </c>
      <c r="C288" s="384">
        <v>2.85</v>
      </c>
      <c r="D288" s="4" t="s">
        <v>307</v>
      </c>
      <c r="E288" s="4" t="s">
        <v>0</v>
      </c>
      <c r="F288" s="4" t="s">
        <v>0</v>
      </c>
      <c r="G288" s="4" t="s">
        <v>4</v>
      </c>
      <c r="H288" s="4" t="s">
        <v>0</v>
      </c>
      <c r="I288" s="4" t="s">
        <v>4</v>
      </c>
      <c r="J288" s="4" t="s">
        <v>16</v>
      </c>
      <c r="K288" s="371">
        <v>3</v>
      </c>
    </row>
    <row r="289" spans="2:11" x14ac:dyDescent="0.2">
      <c r="B289" s="3">
        <v>467</v>
      </c>
      <c r="C289" s="384">
        <v>2.85</v>
      </c>
      <c r="D289" s="4" t="s">
        <v>307</v>
      </c>
      <c r="E289" s="4" t="s">
        <v>0</v>
      </c>
      <c r="F289" s="4" t="s">
        <v>0</v>
      </c>
      <c r="G289" s="4" t="s">
        <v>5</v>
      </c>
      <c r="H289" s="4" t="s">
        <v>0</v>
      </c>
      <c r="I289" s="4" t="s">
        <v>5</v>
      </c>
      <c r="J289" s="4" t="s">
        <v>16</v>
      </c>
      <c r="K289" s="371">
        <v>3</v>
      </c>
    </row>
    <row r="290" spans="2:11" x14ac:dyDescent="0.2">
      <c r="B290" s="3">
        <v>468</v>
      </c>
      <c r="C290" s="384">
        <v>2.85</v>
      </c>
      <c r="D290" s="4" t="s">
        <v>308</v>
      </c>
      <c r="E290" s="4" t="s">
        <v>0</v>
      </c>
      <c r="F290" s="4" t="s">
        <v>0</v>
      </c>
      <c r="G290" s="4" t="s">
        <v>3</v>
      </c>
      <c r="H290" s="4" t="s">
        <v>1</v>
      </c>
      <c r="I290" s="4"/>
      <c r="J290" s="4" t="s">
        <v>16</v>
      </c>
      <c r="K290" s="371">
        <v>3</v>
      </c>
    </row>
    <row r="291" spans="2:11" x14ac:dyDescent="0.2">
      <c r="B291" s="3">
        <v>469</v>
      </c>
      <c r="C291" s="384">
        <v>2.85</v>
      </c>
      <c r="D291" s="4" t="s">
        <v>308</v>
      </c>
      <c r="E291" s="4" t="s">
        <v>0</v>
      </c>
      <c r="F291" s="4" t="s">
        <v>0</v>
      </c>
      <c r="G291" s="4" t="s">
        <v>4</v>
      </c>
      <c r="H291" s="4" t="s">
        <v>1</v>
      </c>
      <c r="I291" s="4"/>
      <c r="J291" s="4" t="s">
        <v>16</v>
      </c>
      <c r="K291" s="371">
        <v>3</v>
      </c>
    </row>
    <row r="292" spans="2:11" x14ac:dyDescent="0.2">
      <c r="B292" s="3">
        <v>470</v>
      </c>
      <c r="C292" s="384">
        <v>2.85</v>
      </c>
      <c r="D292" s="4" t="s">
        <v>308</v>
      </c>
      <c r="E292" s="4" t="s">
        <v>0</v>
      </c>
      <c r="F292" s="4" t="s">
        <v>0</v>
      </c>
      <c r="G292" s="4" t="s">
        <v>5</v>
      </c>
      <c r="H292" s="4" t="s">
        <v>1</v>
      </c>
      <c r="I292" s="4"/>
      <c r="J292" s="4" t="s">
        <v>16</v>
      </c>
      <c r="K292" s="371">
        <v>3</v>
      </c>
    </row>
    <row r="293" spans="2:11" x14ac:dyDescent="0.2">
      <c r="B293" s="3">
        <v>471</v>
      </c>
      <c r="C293" s="384">
        <v>2.85</v>
      </c>
      <c r="D293" s="4" t="s">
        <v>308</v>
      </c>
      <c r="E293" s="4" t="s">
        <v>0</v>
      </c>
      <c r="F293" s="4" t="s">
        <v>0</v>
      </c>
      <c r="G293" s="4" t="s">
        <v>3</v>
      </c>
      <c r="H293" s="4" t="s">
        <v>0</v>
      </c>
      <c r="I293" s="4" t="s">
        <v>3</v>
      </c>
      <c r="J293" s="4" t="s">
        <v>16</v>
      </c>
      <c r="K293" s="371">
        <v>3</v>
      </c>
    </row>
    <row r="294" spans="2:11" x14ac:dyDescent="0.2">
      <c r="B294" s="3">
        <v>472</v>
      </c>
      <c r="C294" s="384">
        <v>2.85</v>
      </c>
      <c r="D294" s="4" t="s">
        <v>308</v>
      </c>
      <c r="E294" s="4" t="s">
        <v>0</v>
      </c>
      <c r="F294" s="4" t="s">
        <v>0</v>
      </c>
      <c r="G294" s="4" t="s">
        <v>4</v>
      </c>
      <c r="H294" s="4" t="s">
        <v>0</v>
      </c>
      <c r="I294" s="4" t="s">
        <v>4</v>
      </c>
      <c r="J294" s="4" t="s">
        <v>16</v>
      </c>
      <c r="K294" s="371">
        <v>3</v>
      </c>
    </row>
    <row r="295" spans="2:11" x14ac:dyDescent="0.2">
      <c r="B295" s="3">
        <v>473</v>
      </c>
      <c r="C295" s="384">
        <v>2.85</v>
      </c>
      <c r="D295" s="4" t="s">
        <v>308</v>
      </c>
      <c r="E295" s="4" t="s">
        <v>0</v>
      </c>
      <c r="F295" s="4" t="s">
        <v>0</v>
      </c>
      <c r="G295" s="4" t="s">
        <v>5</v>
      </c>
      <c r="H295" s="4" t="s">
        <v>0</v>
      </c>
      <c r="I295" s="4" t="s">
        <v>5</v>
      </c>
      <c r="J295" s="4" t="s">
        <v>16</v>
      </c>
      <c r="K295" s="371">
        <v>3</v>
      </c>
    </row>
    <row r="296" spans="2:11" x14ac:dyDescent="0.2">
      <c r="B296" s="3"/>
      <c r="C296" s="4"/>
      <c r="D296" s="4"/>
      <c r="E296" s="384"/>
      <c r="F296" s="4"/>
      <c r="G296" s="4"/>
      <c r="H296" s="4"/>
      <c r="I296" s="4"/>
      <c r="J296" s="4"/>
      <c r="K296" s="371"/>
    </row>
    <row r="297" spans="2:11" x14ac:dyDescent="0.2">
      <c r="B297" s="3">
        <v>474</v>
      </c>
      <c r="C297" s="384">
        <v>1</v>
      </c>
      <c r="D297" s="4" t="s">
        <v>307</v>
      </c>
      <c r="E297" s="4" t="s">
        <v>0</v>
      </c>
      <c r="F297" s="4" t="s">
        <v>0</v>
      </c>
      <c r="G297" s="4" t="s">
        <v>3</v>
      </c>
      <c r="H297" s="4" t="s">
        <v>1</v>
      </c>
      <c r="I297" s="4"/>
      <c r="J297" s="4" t="s">
        <v>16</v>
      </c>
      <c r="K297" s="371">
        <v>3</v>
      </c>
    </row>
    <row r="298" spans="2:11" x14ac:dyDescent="0.2">
      <c r="B298" s="3">
        <v>475</v>
      </c>
      <c r="C298" s="384">
        <v>1</v>
      </c>
      <c r="D298" s="4" t="s">
        <v>307</v>
      </c>
      <c r="E298" s="4" t="s">
        <v>0</v>
      </c>
      <c r="F298" s="4" t="s">
        <v>0</v>
      </c>
      <c r="G298" s="4" t="s">
        <v>4</v>
      </c>
      <c r="H298" s="4" t="s">
        <v>1</v>
      </c>
      <c r="I298" s="4"/>
      <c r="J298" s="4" t="s">
        <v>16</v>
      </c>
      <c r="K298" s="371">
        <v>3</v>
      </c>
    </row>
    <row r="299" spans="2:11" x14ac:dyDescent="0.2">
      <c r="B299" s="3">
        <v>476</v>
      </c>
      <c r="C299" s="384">
        <v>1</v>
      </c>
      <c r="D299" s="4" t="s">
        <v>307</v>
      </c>
      <c r="E299" s="4" t="s">
        <v>0</v>
      </c>
      <c r="F299" s="4" t="s">
        <v>0</v>
      </c>
      <c r="G299" s="4" t="s">
        <v>5</v>
      </c>
      <c r="H299" s="4" t="s">
        <v>1</v>
      </c>
      <c r="I299" s="4"/>
      <c r="J299" s="4" t="s">
        <v>16</v>
      </c>
      <c r="K299" s="371">
        <v>3</v>
      </c>
    </row>
    <row r="300" spans="2:11" x14ac:dyDescent="0.2">
      <c r="B300" s="3">
        <v>477</v>
      </c>
      <c r="C300" s="384">
        <v>1</v>
      </c>
      <c r="D300" s="4" t="s">
        <v>307</v>
      </c>
      <c r="E300" s="4" t="s">
        <v>0</v>
      </c>
      <c r="F300" s="4" t="s">
        <v>0</v>
      </c>
      <c r="G300" s="4" t="s">
        <v>3</v>
      </c>
      <c r="H300" s="4" t="s">
        <v>0</v>
      </c>
      <c r="I300" s="4" t="s">
        <v>3</v>
      </c>
      <c r="J300" s="4" t="s">
        <v>16</v>
      </c>
      <c r="K300" s="371">
        <v>3</v>
      </c>
    </row>
    <row r="301" spans="2:11" x14ac:dyDescent="0.2">
      <c r="B301" s="3">
        <v>478</v>
      </c>
      <c r="C301" s="384">
        <v>1</v>
      </c>
      <c r="D301" s="4" t="s">
        <v>307</v>
      </c>
      <c r="E301" s="4" t="s">
        <v>0</v>
      </c>
      <c r="F301" s="4" t="s">
        <v>0</v>
      </c>
      <c r="G301" s="4" t="s">
        <v>4</v>
      </c>
      <c r="H301" s="4" t="s">
        <v>0</v>
      </c>
      <c r="I301" s="4" t="s">
        <v>4</v>
      </c>
      <c r="J301" s="4" t="s">
        <v>16</v>
      </c>
      <c r="K301" s="371">
        <v>3</v>
      </c>
    </row>
    <row r="302" spans="2:11" x14ac:dyDescent="0.2">
      <c r="B302" s="3">
        <v>479</v>
      </c>
      <c r="C302" s="384">
        <v>1</v>
      </c>
      <c r="D302" s="4" t="s">
        <v>307</v>
      </c>
      <c r="E302" s="4" t="s">
        <v>0</v>
      </c>
      <c r="F302" s="4" t="s">
        <v>0</v>
      </c>
      <c r="G302" s="4" t="s">
        <v>5</v>
      </c>
      <c r="H302" s="4" t="s">
        <v>0</v>
      </c>
      <c r="I302" s="4" t="s">
        <v>5</v>
      </c>
      <c r="J302" s="4" t="s">
        <v>16</v>
      </c>
      <c r="K302" s="371">
        <v>3</v>
      </c>
    </row>
    <row r="303" spans="2:11" x14ac:dyDescent="0.2">
      <c r="B303" s="3">
        <v>480</v>
      </c>
      <c r="C303" s="384">
        <v>1</v>
      </c>
      <c r="D303" s="4" t="s">
        <v>308</v>
      </c>
      <c r="E303" s="4" t="s">
        <v>0</v>
      </c>
      <c r="F303" s="4" t="s">
        <v>0</v>
      </c>
      <c r="G303" s="4" t="s">
        <v>3</v>
      </c>
      <c r="H303" s="4" t="s">
        <v>1</v>
      </c>
      <c r="I303" s="4"/>
      <c r="J303" s="4" t="s">
        <v>16</v>
      </c>
      <c r="K303" s="371">
        <v>3</v>
      </c>
    </row>
    <row r="304" spans="2:11" x14ac:dyDescent="0.2">
      <c r="B304" s="3">
        <v>481</v>
      </c>
      <c r="C304" s="384">
        <v>1</v>
      </c>
      <c r="D304" s="4" t="s">
        <v>308</v>
      </c>
      <c r="E304" s="4" t="s">
        <v>0</v>
      </c>
      <c r="F304" s="4" t="s">
        <v>0</v>
      </c>
      <c r="G304" s="4" t="s">
        <v>4</v>
      </c>
      <c r="H304" s="4" t="s">
        <v>1</v>
      </c>
      <c r="I304" s="4"/>
      <c r="J304" s="4" t="s">
        <v>16</v>
      </c>
      <c r="K304" s="371">
        <v>3</v>
      </c>
    </row>
    <row r="305" spans="2:11" x14ac:dyDescent="0.2">
      <c r="B305" s="3">
        <v>482</v>
      </c>
      <c r="C305" s="384">
        <v>1</v>
      </c>
      <c r="D305" s="4" t="s">
        <v>308</v>
      </c>
      <c r="E305" s="4" t="s">
        <v>0</v>
      </c>
      <c r="F305" s="4" t="s">
        <v>0</v>
      </c>
      <c r="G305" s="4" t="s">
        <v>5</v>
      </c>
      <c r="H305" s="4" t="s">
        <v>1</v>
      </c>
      <c r="I305" s="4"/>
      <c r="J305" s="4" t="s">
        <v>16</v>
      </c>
      <c r="K305" s="371">
        <v>3</v>
      </c>
    </row>
    <row r="306" spans="2:11" x14ac:dyDescent="0.2">
      <c r="B306" s="3">
        <v>483</v>
      </c>
      <c r="C306" s="384">
        <v>1</v>
      </c>
      <c r="D306" s="4" t="s">
        <v>308</v>
      </c>
      <c r="E306" s="4" t="s">
        <v>0</v>
      </c>
      <c r="F306" s="4" t="s">
        <v>0</v>
      </c>
      <c r="G306" s="4" t="s">
        <v>3</v>
      </c>
      <c r="H306" s="4" t="s">
        <v>0</v>
      </c>
      <c r="I306" s="4" t="s">
        <v>3</v>
      </c>
      <c r="J306" s="4" t="s">
        <v>16</v>
      </c>
      <c r="K306" s="371">
        <v>3</v>
      </c>
    </row>
    <row r="307" spans="2:11" x14ac:dyDescent="0.2">
      <c r="B307" s="3">
        <v>484</v>
      </c>
      <c r="C307" s="384">
        <v>1</v>
      </c>
      <c r="D307" s="4" t="s">
        <v>308</v>
      </c>
      <c r="E307" s="4" t="s">
        <v>0</v>
      </c>
      <c r="F307" s="4" t="s">
        <v>0</v>
      </c>
      <c r="G307" s="4" t="s">
        <v>4</v>
      </c>
      <c r="H307" s="4" t="s">
        <v>0</v>
      </c>
      <c r="I307" s="4" t="s">
        <v>4</v>
      </c>
      <c r="J307" s="4" t="s">
        <v>16</v>
      </c>
      <c r="K307" s="371">
        <v>3</v>
      </c>
    </row>
    <row r="308" spans="2:11" x14ac:dyDescent="0.2">
      <c r="B308" s="3">
        <v>485</v>
      </c>
      <c r="C308" s="384">
        <v>1</v>
      </c>
      <c r="D308" s="4" t="s">
        <v>308</v>
      </c>
      <c r="E308" s="4" t="s">
        <v>0</v>
      </c>
      <c r="F308" s="4" t="s">
        <v>0</v>
      </c>
      <c r="G308" s="4" t="s">
        <v>5</v>
      </c>
      <c r="H308" s="4" t="s">
        <v>0</v>
      </c>
      <c r="I308" s="4" t="s">
        <v>5</v>
      </c>
      <c r="J308" s="4" t="s">
        <v>16</v>
      </c>
      <c r="K308" s="371">
        <v>3</v>
      </c>
    </row>
    <row r="309" spans="2:11" x14ac:dyDescent="0.2">
      <c r="B309" s="3"/>
      <c r="C309" s="4"/>
      <c r="D309" s="4"/>
      <c r="E309" s="384"/>
      <c r="F309" s="4"/>
      <c r="G309" s="4"/>
      <c r="H309" s="4"/>
      <c r="I309" s="4"/>
      <c r="J309" s="4"/>
      <c r="K309" s="371"/>
    </row>
    <row r="310" spans="2:11" x14ac:dyDescent="0.2">
      <c r="B310" s="3">
        <v>486</v>
      </c>
      <c r="C310" s="384">
        <v>0.53</v>
      </c>
      <c r="D310" s="4" t="s">
        <v>307</v>
      </c>
      <c r="E310" s="4" t="s">
        <v>0</v>
      </c>
      <c r="F310" s="4" t="s">
        <v>0</v>
      </c>
      <c r="G310" s="4" t="s">
        <v>3</v>
      </c>
      <c r="H310" s="4" t="s">
        <v>1</v>
      </c>
      <c r="I310" s="4"/>
      <c r="J310" s="4" t="s">
        <v>16</v>
      </c>
      <c r="K310" s="371">
        <v>3</v>
      </c>
    </row>
    <row r="311" spans="2:11" x14ac:dyDescent="0.2">
      <c r="B311" s="3">
        <v>487</v>
      </c>
      <c r="C311" s="384">
        <v>0.53</v>
      </c>
      <c r="D311" s="4" t="s">
        <v>307</v>
      </c>
      <c r="E311" s="4" t="s">
        <v>0</v>
      </c>
      <c r="F311" s="4" t="s">
        <v>0</v>
      </c>
      <c r="G311" s="4" t="s">
        <v>4</v>
      </c>
      <c r="H311" s="4" t="s">
        <v>1</v>
      </c>
      <c r="I311" s="4"/>
      <c r="J311" s="4" t="s">
        <v>16</v>
      </c>
      <c r="K311" s="371">
        <v>3</v>
      </c>
    </row>
    <row r="312" spans="2:11" x14ac:dyDescent="0.2">
      <c r="B312" s="3">
        <v>488</v>
      </c>
      <c r="C312" s="384">
        <v>0.53</v>
      </c>
      <c r="D312" s="4" t="s">
        <v>307</v>
      </c>
      <c r="E312" s="4" t="s">
        <v>0</v>
      </c>
      <c r="F312" s="4" t="s">
        <v>0</v>
      </c>
      <c r="G312" s="4" t="s">
        <v>5</v>
      </c>
      <c r="H312" s="4" t="s">
        <v>1</v>
      </c>
      <c r="I312" s="4"/>
      <c r="J312" s="4" t="s">
        <v>16</v>
      </c>
      <c r="K312" s="371">
        <v>3</v>
      </c>
    </row>
    <row r="313" spans="2:11" x14ac:dyDescent="0.2">
      <c r="B313" s="3">
        <v>489</v>
      </c>
      <c r="C313" s="384">
        <v>0.53</v>
      </c>
      <c r="D313" s="4" t="s">
        <v>307</v>
      </c>
      <c r="E313" s="4" t="s">
        <v>0</v>
      </c>
      <c r="F313" s="4" t="s">
        <v>0</v>
      </c>
      <c r="G313" s="4" t="s">
        <v>3</v>
      </c>
      <c r="H313" s="4" t="s">
        <v>0</v>
      </c>
      <c r="I313" s="4" t="s">
        <v>3</v>
      </c>
      <c r="J313" s="4" t="s">
        <v>16</v>
      </c>
      <c r="K313" s="371">
        <v>3</v>
      </c>
    </row>
    <row r="314" spans="2:11" x14ac:dyDescent="0.2">
      <c r="B314" s="3">
        <v>490</v>
      </c>
      <c r="C314" s="384">
        <v>0.53</v>
      </c>
      <c r="D314" s="4" t="s">
        <v>307</v>
      </c>
      <c r="E314" s="4" t="s">
        <v>0</v>
      </c>
      <c r="F314" s="4" t="s">
        <v>0</v>
      </c>
      <c r="G314" s="4" t="s">
        <v>4</v>
      </c>
      <c r="H314" s="4" t="s">
        <v>0</v>
      </c>
      <c r="I314" s="4" t="s">
        <v>4</v>
      </c>
      <c r="J314" s="4" t="s">
        <v>16</v>
      </c>
      <c r="K314" s="371">
        <v>3</v>
      </c>
    </row>
    <row r="315" spans="2:11" x14ac:dyDescent="0.2">
      <c r="B315" s="3">
        <v>491</v>
      </c>
      <c r="C315" s="384">
        <v>0.53</v>
      </c>
      <c r="D315" s="4" t="s">
        <v>307</v>
      </c>
      <c r="E315" s="4" t="s">
        <v>0</v>
      </c>
      <c r="F315" s="4" t="s">
        <v>0</v>
      </c>
      <c r="G315" s="4" t="s">
        <v>5</v>
      </c>
      <c r="H315" s="4" t="s">
        <v>0</v>
      </c>
      <c r="I315" s="4" t="s">
        <v>5</v>
      </c>
      <c r="J315" s="4" t="s">
        <v>16</v>
      </c>
      <c r="K315" s="371">
        <v>3</v>
      </c>
    </row>
    <row r="316" spans="2:11" x14ac:dyDescent="0.2">
      <c r="B316" s="3">
        <v>492</v>
      </c>
      <c r="C316" s="384">
        <v>0.53</v>
      </c>
      <c r="D316" s="4" t="s">
        <v>308</v>
      </c>
      <c r="E316" s="4" t="s">
        <v>0</v>
      </c>
      <c r="F316" s="4" t="s">
        <v>0</v>
      </c>
      <c r="G316" s="4" t="s">
        <v>3</v>
      </c>
      <c r="H316" s="4" t="s">
        <v>1</v>
      </c>
      <c r="I316" s="4"/>
      <c r="J316" s="4" t="s">
        <v>16</v>
      </c>
      <c r="K316" s="371">
        <v>3</v>
      </c>
    </row>
    <row r="317" spans="2:11" x14ac:dyDescent="0.2">
      <c r="B317" s="3">
        <v>493</v>
      </c>
      <c r="C317" s="384">
        <v>0.53</v>
      </c>
      <c r="D317" s="4" t="s">
        <v>308</v>
      </c>
      <c r="E317" s="4" t="s">
        <v>0</v>
      </c>
      <c r="F317" s="4" t="s">
        <v>0</v>
      </c>
      <c r="G317" s="4" t="s">
        <v>4</v>
      </c>
      <c r="H317" s="4" t="s">
        <v>1</v>
      </c>
      <c r="I317" s="4"/>
      <c r="J317" s="4" t="s">
        <v>16</v>
      </c>
      <c r="K317" s="371">
        <v>3</v>
      </c>
    </row>
    <row r="318" spans="2:11" x14ac:dyDescent="0.2">
      <c r="B318" s="3">
        <v>494</v>
      </c>
      <c r="C318" s="384">
        <v>0.53</v>
      </c>
      <c r="D318" s="4" t="s">
        <v>308</v>
      </c>
      <c r="E318" s="4" t="s">
        <v>0</v>
      </c>
      <c r="F318" s="4" t="s">
        <v>0</v>
      </c>
      <c r="G318" s="4" t="s">
        <v>5</v>
      </c>
      <c r="H318" s="4" t="s">
        <v>1</v>
      </c>
      <c r="I318" s="4"/>
      <c r="J318" s="4" t="s">
        <v>16</v>
      </c>
      <c r="K318" s="371">
        <v>3</v>
      </c>
    </row>
    <row r="319" spans="2:11" x14ac:dyDescent="0.2">
      <c r="B319" s="3">
        <v>495</v>
      </c>
      <c r="C319" s="384">
        <v>0.53</v>
      </c>
      <c r="D319" s="4" t="s">
        <v>308</v>
      </c>
      <c r="E319" s="4" t="s">
        <v>0</v>
      </c>
      <c r="F319" s="4" t="s">
        <v>0</v>
      </c>
      <c r="G319" s="4" t="s">
        <v>3</v>
      </c>
      <c r="H319" s="4" t="s">
        <v>0</v>
      </c>
      <c r="I319" s="4" t="s">
        <v>3</v>
      </c>
      <c r="J319" s="4" t="s">
        <v>16</v>
      </c>
      <c r="K319" s="371">
        <v>3</v>
      </c>
    </row>
    <row r="320" spans="2:11" x14ac:dyDescent="0.2">
      <c r="B320" s="3">
        <v>496</v>
      </c>
      <c r="C320" s="384">
        <v>0.53</v>
      </c>
      <c r="D320" s="4" t="s">
        <v>308</v>
      </c>
      <c r="E320" s="4" t="s">
        <v>0</v>
      </c>
      <c r="F320" s="4" t="s">
        <v>0</v>
      </c>
      <c r="G320" s="4" t="s">
        <v>4</v>
      </c>
      <c r="H320" s="4" t="s">
        <v>0</v>
      </c>
      <c r="I320" s="4" t="s">
        <v>4</v>
      </c>
      <c r="J320" s="4" t="s">
        <v>16</v>
      </c>
      <c r="K320" s="371">
        <v>3</v>
      </c>
    </row>
    <row r="321" spans="2:11" x14ac:dyDescent="0.2">
      <c r="B321" s="3">
        <v>497</v>
      </c>
      <c r="C321" s="384">
        <v>0.53</v>
      </c>
      <c r="D321" s="4" t="s">
        <v>308</v>
      </c>
      <c r="E321" s="4" t="s">
        <v>0</v>
      </c>
      <c r="F321" s="4" t="s">
        <v>0</v>
      </c>
      <c r="G321" s="4" t="s">
        <v>5</v>
      </c>
      <c r="H321" s="4" t="s">
        <v>0</v>
      </c>
      <c r="I321" s="4" t="s">
        <v>5</v>
      </c>
      <c r="J321" s="4" t="s">
        <v>16</v>
      </c>
      <c r="K321" s="371">
        <v>3</v>
      </c>
    </row>
    <row r="322" spans="2:11" x14ac:dyDescent="0.2">
      <c r="B322" s="3"/>
      <c r="C322" s="4"/>
      <c r="D322" s="4"/>
      <c r="E322" s="4"/>
      <c r="F322" s="4"/>
      <c r="G322" s="4"/>
      <c r="H322" s="4"/>
      <c r="I322" s="4"/>
      <c r="J322" s="4"/>
      <c r="K322" s="371"/>
    </row>
    <row r="323" spans="2:11" x14ac:dyDescent="0.2">
      <c r="B323" s="3">
        <v>500</v>
      </c>
      <c r="C323" s="384">
        <v>15.67</v>
      </c>
      <c r="D323" s="4" t="s">
        <v>307</v>
      </c>
      <c r="E323" s="4" t="s">
        <v>0</v>
      </c>
      <c r="F323" s="4" t="s">
        <v>0</v>
      </c>
      <c r="G323" s="4" t="s">
        <v>3</v>
      </c>
      <c r="H323" s="4" t="s">
        <v>1</v>
      </c>
      <c r="I323" s="4"/>
      <c r="J323" s="4" t="s">
        <v>16</v>
      </c>
      <c r="K323" s="371">
        <v>4</v>
      </c>
    </row>
    <row r="324" spans="2:11" x14ac:dyDescent="0.2">
      <c r="B324" s="3">
        <v>501</v>
      </c>
      <c r="C324" s="4">
        <v>15.67</v>
      </c>
      <c r="D324" s="4" t="s">
        <v>307</v>
      </c>
      <c r="E324" s="4" t="s">
        <v>0</v>
      </c>
      <c r="F324" s="4" t="s">
        <v>0</v>
      </c>
      <c r="G324" s="4" t="s">
        <v>4</v>
      </c>
      <c r="H324" s="4" t="s">
        <v>1</v>
      </c>
      <c r="I324" s="4"/>
      <c r="J324" s="4" t="s">
        <v>16</v>
      </c>
      <c r="K324" s="371">
        <v>4</v>
      </c>
    </row>
    <row r="325" spans="2:11" x14ac:dyDescent="0.2">
      <c r="B325" s="3">
        <v>502</v>
      </c>
      <c r="C325" s="4">
        <v>15.67</v>
      </c>
      <c r="D325" s="4" t="s">
        <v>307</v>
      </c>
      <c r="E325" s="4" t="s">
        <v>0</v>
      </c>
      <c r="F325" s="4" t="s">
        <v>0</v>
      </c>
      <c r="G325" s="4" t="s">
        <v>5</v>
      </c>
      <c r="H325" s="4" t="s">
        <v>1</v>
      </c>
      <c r="I325" s="4"/>
      <c r="J325" s="4" t="s">
        <v>16</v>
      </c>
      <c r="K325" s="371">
        <v>4</v>
      </c>
    </row>
    <row r="326" spans="2:11" x14ac:dyDescent="0.2">
      <c r="B326" s="3">
        <v>503</v>
      </c>
      <c r="C326" s="4">
        <v>15.67</v>
      </c>
      <c r="D326" s="4" t="s">
        <v>307</v>
      </c>
      <c r="E326" s="4" t="s">
        <v>0</v>
      </c>
      <c r="F326" s="4" t="s">
        <v>0</v>
      </c>
      <c r="G326" s="4" t="s">
        <v>3</v>
      </c>
      <c r="H326" s="4" t="s">
        <v>0</v>
      </c>
      <c r="I326" s="4" t="s">
        <v>3</v>
      </c>
      <c r="J326" s="4" t="s">
        <v>16</v>
      </c>
      <c r="K326" s="371">
        <v>4</v>
      </c>
    </row>
    <row r="327" spans="2:11" x14ac:dyDescent="0.2">
      <c r="B327" s="3">
        <v>504</v>
      </c>
      <c r="C327" s="4">
        <v>15.67</v>
      </c>
      <c r="D327" s="4" t="s">
        <v>307</v>
      </c>
      <c r="E327" s="4" t="s">
        <v>0</v>
      </c>
      <c r="F327" s="4" t="s">
        <v>0</v>
      </c>
      <c r="G327" s="4" t="s">
        <v>4</v>
      </c>
      <c r="H327" s="4" t="s">
        <v>0</v>
      </c>
      <c r="I327" s="4" t="s">
        <v>4</v>
      </c>
      <c r="J327" s="4" t="s">
        <v>16</v>
      </c>
      <c r="K327" s="371">
        <v>4</v>
      </c>
    </row>
    <row r="328" spans="2:11" x14ac:dyDescent="0.2">
      <c r="B328" s="3">
        <v>505</v>
      </c>
      <c r="C328" s="4">
        <v>15.67</v>
      </c>
      <c r="D328" s="4" t="s">
        <v>307</v>
      </c>
      <c r="E328" s="4" t="s">
        <v>0</v>
      </c>
      <c r="F328" s="4" t="s">
        <v>0</v>
      </c>
      <c r="G328" s="4" t="s">
        <v>5</v>
      </c>
      <c r="H328" s="4" t="s">
        <v>0</v>
      </c>
      <c r="I328" s="4" t="s">
        <v>5</v>
      </c>
      <c r="J328" s="4" t="s">
        <v>16</v>
      </c>
      <c r="K328" s="371">
        <v>4</v>
      </c>
    </row>
    <row r="329" spans="2:11" x14ac:dyDescent="0.2">
      <c r="B329" s="3">
        <v>506</v>
      </c>
      <c r="C329" s="4">
        <v>15.67</v>
      </c>
      <c r="D329" s="4" t="s">
        <v>308</v>
      </c>
      <c r="E329" s="4" t="s">
        <v>0</v>
      </c>
      <c r="F329" s="4" t="s">
        <v>0</v>
      </c>
      <c r="G329" s="4" t="s">
        <v>3</v>
      </c>
      <c r="H329" s="4" t="s">
        <v>1</v>
      </c>
      <c r="I329" s="4"/>
      <c r="J329" s="4" t="s">
        <v>16</v>
      </c>
      <c r="K329" s="371">
        <v>4</v>
      </c>
    </row>
    <row r="330" spans="2:11" x14ac:dyDescent="0.2">
      <c r="B330" s="3">
        <v>507</v>
      </c>
      <c r="C330" s="4">
        <v>15.67</v>
      </c>
      <c r="D330" s="4" t="s">
        <v>308</v>
      </c>
      <c r="E330" s="4" t="s">
        <v>0</v>
      </c>
      <c r="F330" s="4" t="s">
        <v>0</v>
      </c>
      <c r="G330" s="4" t="s">
        <v>4</v>
      </c>
      <c r="H330" s="4" t="s">
        <v>1</v>
      </c>
      <c r="I330" s="4"/>
      <c r="J330" s="4" t="s">
        <v>16</v>
      </c>
      <c r="K330" s="371">
        <v>4</v>
      </c>
    </row>
    <row r="331" spans="2:11" x14ac:dyDescent="0.2">
      <c r="B331" s="3">
        <v>508</v>
      </c>
      <c r="C331" s="4">
        <v>15.67</v>
      </c>
      <c r="D331" s="4" t="s">
        <v>308</v>
      </c>
      <c r="E331" s="4" t="s">
        <v>0</v>
      </c>
      <c r="F331" s="4" t="s">
        <v>0</v>
      </c>
      <c r="G331" s="4" t="s">
        <v>5</v>
      </c>
      <c r="H331" s="4" t="s">
        <v>1</v>
      </c>
      <c r="I331" s="4"/>
      <c r="J331" s="4" t="s">
        <v>16</v>
      </c>
      <c r="K331" s="371">
        <v>4</v>
      </c>
    </row>
    <row r="332" spans="2:11" x14ac:dyDescent="0.2">
      <c r="B332" s="3">
        <v>509</v>
      </c>
      <c r="C332" s="4">
        <v>15.67</v>
      </c>
      <c r="D332" s="4" t="s">
        <v>308</v>
      </c>
      <c r="E332" s="4" t="s">
        <v>0</v>
      </c>
      <c r="F332" s="4" t="s">
        <v>0</v>
      </c>
      <c r="G332" s="4" t="s">
        <v>3</v>
      </c>
      <c r="H332" s="4" t="s">
        <v>0</v>
      </c>
      <c r="I332" s="4" t="s">
        <v>3</v>
      </c>
      <c r="J332" s="4" t="s">
        <v>16</v>
      </c>
      <c r="K332" s="371">
        <v>4</v>
      </c>
    </row>
    <row r="333" spans="2:11" x14ac:dyDescent="0.2">
      <c r="B333" s="3">
        <v>510</v>
      </c>
      <c r="C333" s="4">
        <v>15.67</v>
      </c>
      <c r="D333" s="4" t="s">
        <v>308</v>
      </c>
      <c r="E333" s="4" t="s">
        <v>0</v>
      </c>
      <c r="F333" s="4" t="s">
        <v>0</v>
      </c>
      <c r="G333" s="4" t="s">
        <v>4</v>
      </c>
      <c r="H333" s="4" t="s">
        <v>0</v>
      </c>
      <c r="I333" s="4" t="s">
        <v>4</v>
      </c>
      <c r="J333" s="4" t="s">
        <v>16</v>
      </c>
      <c r="K333" s="371">
        <v>4</v>
      </c>
    </row>
    <row r="334" spans="2:11" x14ac:dyDescent="0.2">
      <c r="B334" s="3">
        <v>511</v>
      </c>
      <c r="C334" s="4">
        <v>15.67</v>
      </c>
      <c r="D334" s="4" t="s">
        <v>308</v>
      </c>
      <c r="E334" s="4" t="s">
        <v>0</v>
      </c>
      <c r="F334" s="4" t="s">
        <v>0</v>
      </c>
      <c r="G334" s="4" t="s">
        <v>5</v>
      </c>
      <c r="H334" s="4" t="s">
        <v>0</v>
      </c>
      <c r="I334" s="4" t="s">
        <v>5</v>
      </c>
      <c r="J334" s="4" t="s">
        <v>16</v>
      </c>
      <c r="K334" s="371">
        <v>4</v>
      </c>
    </row>
    <row r="335" spans="2:11" x14ac:dyDescent="0.2">
      <c r="B335" s="3"/>
      <c r="C335" s="4"/>
      <c r="D335" s="4"/>
      <c r="E335" s="4"/>
      <c r="F335" s="4"/>
      <c r="G335" s="4"/>
      <c r="H335" s="4"/>
      <c r="I335" s="4"/>
      <c r="J335" s="4"/>
      <c r="K335" s="371"/>
    </row>
    <row r="336" spans="2:11" x14ac:dyDescent="0.2">
      <c r="B336" s="3">
        <v>512</v>
      </c>
      <c r="C336" s="384">
        <v>2.85</v>
      </c>
      <c r="D336" s="4" t="s">
        <v>307</v>
      </c>
      <c r="E336" s="4" t="s">
        <v>0</v>
      </c>
      <c r="F336" s="4" t="s">
        <v>0</v>
      </c>
      <c r="G336" s="4" t="s">
        <v>3</v>
      </c>
      <c r="H336" s="4" t="s">
        <v>1</v>
      </c>
      <c r="I336" s="4"/>
      <c r="J336" s="4" t="s">
        <v>16</v>
      </c>
      <c r="K336" s="371">
        <v>4</v>
      </c>
    </row>
    <row r="337" spans="2:11" x14ac:dyDescent="0.2">
      <c r="B337" s="3">
        <v>513</v>
      </c>
      <c r="C337" s="384">
        <v>2.85</v>
      </c>
      <c r="D337" s="4" t="s">
        <v>307</v>
      </c>
      <c r="E337" s="4" t="s">
        <v>0</v>
      </c>
      <c r="F337" s="4" t="s">
        <v>0</v>
      </c>
      <c r="G337" s="4" t="s">
        <v>4</v>
      </c>
      <c r="H337" s="4" t="s">
        <v>1</v>
      </c>
      <c r="I337" s="4"/>
      <c r="J337" s="4" t="s">
        <v>16</v>
      </c>
      <c r="K337" s="371">
        <v>4</v>
      </c>
    </row>
    <row r="338" spans="2:11" x14ac:dyDescent="0.2">
      <c r="B338" s="3">
        <v>514</v>
      </c>
      <c r="C338" s="384">
        <v>2.85</v>
      </c>
      <c r="D338" s="4" t="s">
        <v>307</v>
      </c>
      <c r="E338" s="4" t="s">
        <v>0</v>
      </c>
      <c r="F338" s="4" t="s">
        <v>0</v>
      </c>
      <c r="G338" s="4" t="s">
        <v>5</v>
      </c>
      <c r="H338" s="4" t="s">
        <v>1</v>
      </c>
      <c r="I338" s="4"/>
      <c r="J338" s="4" t="s">
        <v>16</v>
      </c>
      <c r="K338" s="371">
        <v>4</v>
      </c>
    </row>
    <row r="339" spans="2:11" x14ac:dyDescent="0.2">
      <c r="B339" s="3">
        <v>515</v>
      </c>
      <c r="C339" s="384">
        <v>2.85</v>
      </c>
      <c r="D339" s="4" t="s">
        <v>307</v>
      </c>
      <c r="E339" s="4" t="s">
        <v>0</v>
      </c>
      <c r="F339" s="4" t="s">
        <v>0</v>
      </c>
      <c r="G339" s="4" t="s">
        <v>3</v>
      </c>
      <c r="H339" s="4" t="s">
        <v>0</v>
      </c>
      <c r="I339" s="4" t="s">
        <v>3</v>
      </c>
      <c r="J339" s="4" t="s">
        <v>16</v>
      </c>
      <c r="K339" s="371">
        <v>4</v>
      </c>
    </row>
    <row r="340" spans="2:11" x14ac:dyDescent="0.2">
      <c r="B340" s="3">
        <v>516</v>
      </c>
      <c r="C340" s="384">
        <v>2.85</v>
      </c>
      <c r="D340" s="4" t="s">
        <v>307</v>
      </c>
      <c r="E340" s="4" t="s">
        <v>0</v>
      </c>
      <c r="F340" s="4" t="s">
        <v>0</v>
      </c>
      <c r="G340" s="4" t="s">
        <v>4</v>
      </c>
      <c r="H340" s="4" t="s">
        <v>0</v>
      </c>
      <c r="I340" s="4" t="s">
        <v>4</v>
      </c>
      <c r="J340" s="4" t="s">
        <v>16</v>
      </c>
      <c r="K340" s="371">
        <v>4</v>
      </c>
    </row>
    <row r="341" spans="2:11" x14ac:dyDescent="0.2">
      <c r="B341" s="3">
        <v>517</v>
      </c>
      <c r="C341" s="384">
        <v>2.85</v>
      </c>
      <c r="D341" s="4" t="s">
        <v>307</v>
      </c>
      <c r="E341" s="4" t="s">
        <v>0</v>
      </c>
      <c r="F341" s="4" t="s">
        <v>0</v>
      </c>
      <c r="G341" s="4" t="s">
        <v>5</v>
      </c>
      <c r="H341" s="4" t="s">
        <v>0</v>
      </c>
      <c r="I341" s="4" t="s">
        <v>5</v>
      </c>
      <c r="J341" s="4" t="s">
        <v>16</v>
      </c>
      <c r="K341" s="371">
        <v>4</v>
      </c>
    </row>
    <row r="342" spans="2:11" x14ac:dyDescent="0.2">
      <c r="B342" s="3">
        <v>518</v>
      </c>
      <c r="C342" s="384">
        <v>2.85</v>
      </c>
      <c r="D342" s="4" t="s">
        <v>308</v>
      </c>
      <c r="E342" s="4" t="s">
        <v>0</v>
      </c>
      <c r="F342" s="4" t="s">
        <v>0</v>
      </c>
      <c r="G342" s="4" t="s">
        <v>3</v>
      </c>
      <c r="H342" s="4" t="s">
        <v>1</v>
      </c>
      <c r="I342" s="4"/>
      <c r="J342" s="4" t="s">
        <v>16</v>
      </c>
      <c r="K342" s="371">
        <v>4</v>
      </c>
    </row>
    <row r="343" spans="2:11" x14ac:dyDescent="0.2">
      <c r="B343" s="3">
        <v>519</v>
      </c>
      <c r="C343" s="384">
        <v>2.85</v>
      </c>
      <c r="D343" s="4" t="s">
        <v>308</v>
      </c>
      <c r="E343" s="4" t="s">
        <v>0</v>
      </c>
      <c r="F343" s="4" t="s">
        <v>0</v>
      </c>
      <c r="G343" s="4" t="s">
        <v>4</v>
      </c>
      <c r="H343" s="4" t="s">
        <v>1</v>
      </c>
      <c r="I343" s="4"/>
      <c r="J343" s="4" t="s">
        <v>16</v>
      </c>
      <c r="K343" s="371">
        <v>4</v>
      </c>
    </row>
    <row r="344" spans="2:11" x14ac:dyDescent="0.2">
      <c r="B344" s="3">
        <v>520</v>
      </c>
      <c r="C344" s="384">
        <v>2.85</v>
      </c>
      <c r="D344" s="4" t="s">
        <v>308</v>
      </c>
      <c r="E344" s="4" t="s">
        <v>0</v>
      </c>
      <c r="F344" s="4" t="s">
        <v>0</v>
      </c>
      <c r="G344" s="4" t="s">
        <v>5</v>
      </c>
      <c r="H344" s="4" t="s">
        <v>1</v>
      </c>
      <c r="I344" s="4"/>
      <c r="J344" s="4" t="s">
        <v>16</v>
      </c>
      <c r="K344" s="371">
        <v>4</v>
      </c>
    </row>
    <row r="345" spans="2:11" x14ac:dyDescent="0.2">
      <c r="B345" s="3">
        <v>521</v>
      </c>
      <c r="C345" s="384">
        <v>2.85</v>
      </c>
      <c r="D345" s="4" t="s">
        <v>308</v>
      </c>
      <c r="E345" s="4" t="s">
        <v>0</v>
      </c>
      <c r="F345" s="4" t="s">
        <v>0</v>
      </c>
      <c r="G345" s="4" t="s">
        <v>3</v>
      </c>
      <c r="H345" s="4" t="s">
        <v>0</v>
      </c>
      <c r="I345" s="4" t="s">
        <v>3</v>
      </c>
      <c r="J345" s="4" t="s">
        <v>16</v>
      </c>
      <c r="K345" s="371">
        <v>4</v>
      </c>
    </row>
    <row r="346" spans="2:11" x14ac:dyDescent="0.2">
      <c r="B346" s="3">
        <v>522</v>
      </c>
      <c r="C346" s="384">
        <v>2.85</v>
      </c>
      <c r="D346" s="4" t="s">
        <v>308</v>
      </c>
      <c r="E346" s="4" t="s">
        <v>0</v>
      </c>
      <c r="F346" s="4" t="s">
        <v>0</v>
      </c>
      <c r="G346" s="4" t="s">
        <v>4</v>
      </c>
      <c r="H346" s="4" t="s">
        <v>0</v>
      </c>
      <c r="I346" s="4" t="s">
        <v>4</v>
      </c>
      <c r="J346" s="4" t="s">
        <v>16</v>
      </c>
      <c r="K346" s="371">
        <v>4</v>
      </c>
    </row>
    <row r="347" spans="2:11" x14ac:dyDescent="0.2">
      <c r="B347" s="3">
        <v>523</v>
      </c>
      <c r="C347" s="384">
        <v>2.85</v>
      </c>
      <c r="D347" s="4" t="s">
        <v>308</v>
      </c>
      <c r="E347" s="4" t="s">
        <v>0</v>
      </c>
      <c r="F347" s="4" t="s">
        <v>0</v>
      </c>
      <c r="G347" s="4" t="s">
        <v>5</v>
      </c>
      <c r="H347" s="4" t="s">
        <v>0</v>
      </c>
      <c r="I347" s="4" t="s">
        <v>5</v>
      </c>
      <c r="J347" s="4" t="s">
        <v>16</v>
      </c>
      <c r="K347" s="371">
        <v>4</v>
      </c>
    </row>
    <row r="348" spans="2:11" x14ac:dyDescent="0.2">
      <c r="B348" s="3"/>
      <c r="C348" s="4"/>
      <c r="D348" s="4"/>
      <c r="E348" s="384"/>
      <c r="F348" s="4"/>
      <c r="G348" s="4"/>
      <c r="H348" s="4"/>
      <c r="I348" s="4"/>
      <c r="J348" s="4"/>
      <c r="K348" s="371"/>
    </row>
    <row r="349" spans="2:11" x14ac:dyDescent="0.2">
      <c r="B349" s="3">
        <v>524</v>
      </c>
      <c r="C349" s="384">
        <v>1</v>
      </c>
      <c r="D349" s="4" t="s">
        <v>307</v>
      </c>
      <c r="E349" s="4" t="s">
        <v>0</v>
      </c>
      <c r="F349" s="4" t="s">
        <v>0</v>
      </c>
      <c r="G349" s="4" t="s">
        <v>3</v>
      </c>
      <c r="H349" s="4" t="s">
        <v>1</v>
      </c>
      <c r="I349" s="4"/>
      <c r="J349" s="4" t="s">
        <v>16</v>
      </c>
      <c r="K349" s="371">
        <v>4</v>
      </c>
    </row>
    <row r="350" spans="2:11" x14ac:dyDescent="0.2">
      <c r="B350" s="3">
        <v>525</v>
      </c>
      <c r="C350" s="384">
        <v>1</v>
      </c>
      <c r="D350" s="4" t="s">
        <v>307</v>
      </c>
      <c r="E350" s="4" t="s">
        <v>0</v>
      </c>
      <c r="F350" s="4" t="s">
        <v>0</v>
      </c>
      <c r="G350" s="4" t="s">
        <v>4</v>
      </c>
      <c r="H350" s="4" t="s">
        <v>1</v>
      </c>
      <c r="I350" s="4"/>
      <c r="J350" s="4" t="s">
        <v>16</v>
      </c>
      <c r="K350" s="371">
        <v>4</v>
      </c>
    </row>
    <row r="351" spans="2:11" x14ac:dyDescent="0.2">
      <c r="B351" s="3">
        <v>526</v>
      </c>
      <c r="C351" s="384">
        <v>1</v>
      </c>
      <c r="D351" s="4" t="s">
        <v>307</v>
      </c>
      <c r="E351" s="4" t="s">
        <v>0</v>
      </c>
      <c r="F351" s="4" t="s">
        <v>0</v>
      </c>
      <c r="G351" s="4" t="s">
        <v>5</v>
      </c>
      <c r="H351" s="4" t="s">
        <v>1</v>
      </c>
      <c r="I351" s="4"/>
      <c r="J351" s="4" t="s">
        <v>16</v>
      </c>
      <c r="K351" s="371">
        <v>4</v>
      </c>
    </row>
    <row r="352" spans="2:11" x14ac:dyDescent="0.2">
      <c r="B352" s="3">
        <v>527</v>
      </c>
      <c r="C352" s="384">
        <v>1</v>
      </c>
      <c r="D352" s="4" t="s">
        <v>307</v>
      </c>
      <c r="E352" s="4" t="s">
        <v>0</v>
      </c>
      <c r="F352" s="4" t="s">
        <v>0</v>
      </c>
      <c r="G352" s="4" t="s">
        <v>3</v>
      </c>
      <c r="H352" s="4" t="s">
        <v>0</v>
      </c>
      <c r="I352" s="4" t="s">
        <v>3</v>
      </c>
      <c r="J352" s="4" t="s">
        <v>16</v>
      </c>
      <c r="K352" s="371">
        <v>4</v>
      </c>
    </row>
    <row r="353" spans="2:11" x14ac:dyDescent="0.2">
      <c r="B353" s="3">
        <v>528</v>
      </c>
      <c r="C353" s="384">
        <v>1</v>
      </c>
      <c r="D353" s="4" t="s">
        <v>307</v>
      </c>
      <c r="E353" s="4" t="s">
        <v>0</v>
      </c>
      <c r="F353" s="4" t="s">
        <v>0</v>
      </c>
      <c r="G353" s="4" t="s">
        <v>4</v>
      </c>
      <c r="H353" s="4" t="s">
        <v>0</v>
      </c>
      <c r="I353" s="4" t="s">
        <v>4</v>
      </c>
      <c r="J353" s="4" t="s">
        <v>16</v>
      </c>
      <c r="K353" s="371">
        <v>4</v>
      </c>
    </row>
    <row r="354" spans="2:11" x14ac:dyDescent="0.2">
      <c r="B354" s="3">
        <v>529</v>
      </c>
      <c r="C354" s="384">
        <v>1</v>
      </c>
      <c r="D354" s="4" t="s">
        <v>307</v>
      </c>
      <c r="E354" s="4" t="s">
        <v>0</v>
      </c>
      <c r="F354" s="4" t="s">
        <v>0</v>
      </c>
      <c r="G354" s="4" t="s">
        <v>5</v>
      </c>
      <c r="H354" s="4" t="s">
        <v>0</v>
      </c>
      <c r="I354" s="4" t="s">
        <v>5</v>
      </c>
      <c r="J354" s="4" t="s">
        <v>16</v>
      </c>
      <c r="K354" s="371">
        <v>4</v>
      </c>
    </row>
    <row r="355" spans="2:11" x14ac:dyDescent="0.2">
      <c r="B355" s="3">
        <v>530</v>
      </c>
      <c r="C355" s="384">
        <v>1</v>
      </c>
      <c r="D355" s="4" t="s">
        <v>308</v>
      </c>
      <c r="E355" s="4" t="s">
        <v>0</v>
      </c>
      <c r="F355" s="4" t="s">
        <v>0</v>
      </c>
      <c r="G355" s="4" t="s">
        <v>3</v>
      </c>
      <c r="H355" s="4" t="s">
        <v>1</v>
      </c>
      <c r="I355" s="4"/>
      <c r="J355" s="4" t="s">
        <v>16</v>
      </c>
      <c r="K355" s="371">
        <v>4</v>
      </c>
    </row>
    <row r="356" spans="2:11" x14ac:dyDescent="0.2">
      <c r="B356" s="3">
        <v>531</v>
      </c>
      <c r="C356" s="384">
        <v>1</v>
      </c>
      <c r="D356" s="4" t="s">
        <v>308</v>
      </c>
      <c r="E356" s="4" t="s">
        <v>0</v>
      </c>
      <c r="F356" s="4" t="s">
        <v>0</v>
      </c>
      <c r="G356" s="4" t="s">
        <v>4</v>
      </c>
      <c r="H356" s="4" t="s">
        <v>1</v>
      </c>
      <c r="I356" s="4"/>
      <c r="J356" s="4" t="s">
        <v>16</v>
      </c>
      <c r="K356" s="371">
        <v>4</v>
      </c>
    </row>
    <row r="357" spans="2:11" x14ac:dyDescent="0.2">
      <c r="B357" s="3">
        <v>532</v>
      </c>
      <c r="C357" s="384">
        <v>1</v>
      </c>
      <c r="D357" s="4" t="s">
        <v>308</v>
      </c>
      <c r="E357" s="4" t="s">
        <v>0</v>
      </c>
      <c r="F357" s="4" t="s">
        <v>0</v>
      </c>
      <c r="G357" s="4" t="s">
        <v>5</v>
      </c>
      <c r="H357" s="4" t="s">
        <v>1</v>
      </c>
      <c r="I357" s="4"/>
      <c r="J357" s="4" t="s">
        <v>16</v>
      </c>
      <c r="K357" s="371">
        <v>4</v>
      </c>
    </row>
    <row r="358" spans="2:11" x14ac:dyDescent="0.2">
      <c r="B358" s="3">
        <v>533</v>
      </c>
      <c r="C358" s="384">
        <v>1</v>
      </c>
      <c r="D358" s="4" t="s">
        <v>308</v>
      </c>
      <c r="E358" s="4" t="s">
        <v>0</v>
      </c>
      <c r="F358" s="4" t="s">
        <v>0</v>
      </c>
      <c r="G358" s="4" t="s">
        <v>3</v>
      </c>
      <c r="H358" s="4" t="s">
        <v>0</v>
      </c>
      <c r="I358" s="4" t="s">
        <v>3</v>
      </c>
      <c r="J358" s="4" t="s">
        <v>16</v>
      </c>
      <c r="K358" s="371">
        <v>4</v>
      </c>
    </row>
    <row r="359" spans="2:11" x14ac:dyDescent="0.2">
      <c r="B359" s="3">
        <v>534</v>
      </c>
      <c r="C359" s="384">
        <v>1</v>
      </c>
      <c r="D359" s="4" t="s">
        <v>308</v>
      </c>
      <c r="E359" s="4" t="s">
        <v>0</v>
      </c>
      <c r="F359" s="4" t="s">
        <v>0</v>
      </c>
      <c r="G359" s="4" t="s">
        <v>4</v>
      </c>
      <c r="H359" s="4" t="s">
        <v>0</v>
      </c>
      <c r="I359" s="4" t="s">
        <v>4</v>
      </c>
      <c r="J359" s="4" t="s">
        <v>16</v>
      </c>
      <c r="K359" s="371">
        <v>4</v>
      </c>
    </row>
    <row r="360" spans="2:11" x14ac:dyDescent="0.2">
      <c r="B360" s="3">
        <v>535</v>
      </c>
      <c r="C360" s="384">
        <v>1</v>
      </c>
      <c r="D360" s="4" t="s">
        <v>308</v>
      </c>
      <c r="E360" s="4" t="s">
        <v>0</v>
      </c>
      <c r="F360" s="4" t="s">
        <v>0</v>
      </c>
      <c r="G360" s="4" t="s">
        <v>5</v>
      </c>
      <c r="H360" s="4" t="s">
        <v>0</v>
      </c>
      <c r="I360" s="4" t="s">
        <v>5</v>
      </c>
      <c r="J360" s="4" t="s">
        <v>16</v>
      </c>
      <c r="K360" s="371">
        <v>4</v>
      </c>
    </row>
    <row r="361" spans="2:11" x14ac:dyDescent="0.2">
      <c r="B361" s="3"/>
      <c r="C361" s="4"/>
      <c r="D361" s="4"/>
      <c r="E361" s="384"/>
      <c r="F361" s="4"/>
      <c r="G361" s="4"/>
      <c r="H361" s="4"/>
      <c r="I361" s="4"/>
      <c r="J361" s="4"/>
      <c r="K361" s="371"/>
    </row>
    <row r="362" spans="2:11" x14ac:dyDescent="0.2">
      <c r="B362" s="3">
        <v>536</v>
      </c>
      <c r="C362" s="384">
        <v>0.53</v>
      </c>
      <c r="D362" s="4" t="s">
        <v>307</v>
      </c>
      <c r="E362" s="4" t="s">
        <v>0</v>
      </c>
      <c r="F362" s="4" t="s">
        <v>0</v>
      </c>
      <c r="G362" s="4" t="s">
        <v>3</v>
      </c>
      <c r="H362" s="4" t="s">
        <v>1</v>
      </c>
      <c r="I362" s="4"/>
      <c r="J362" s="4" t="s">
        <v>16</v>
      </c>
      <c r="K362" s="371">
        <v>4</v>
      </c>
    </row>
    <row r="363" spans="2:11" x14ac:dyDescent="0.2">
      <c r="B363" s="3">
        <v>537</v>
      </c>
      <c r="C363" s="384">
        <v>0.53</v>
      </c>
      <c r="D363" s="4" t="s">
        <v>307</v>
      </c>
      <c r="E363" s="4" t="s">
        <v>0</v>
      </c>
      <c r="F363" s="4" t="s">
        <v>0</v>
      </c>
      <c r="G363" s="4" t="s">
        <v>4</v>
      </c>
      <c r="H363" s="4" t="s">
        <v>1</v>
      </c>
      <c r="I363" s="4"/>
      <c r="J363" s="4" t="s">
        <v>16</v>
      </c>
      <c r="K363" s="371">
        <v>4</v>
      </c>
    </row>
    <row r="364" spans="2:11" x14ac:dyDescent="0.2">
      <c r="B364" s="3">
        <v>538</v>
      </c>
      <c r="C364" s="384">
        <v>0.53</v>
      </c>
      <c r="D364" s="4" t="s">
        <v>307</v>
      </c>
      <c r="E364" s="4" t="s">
        <v>0</v>
      </c>
      <c r="F364" s="4" t="s">
        <v>0</v>
      </c>
      <c r="G364" s="4" t="s">
        <v>5</v>
      </c>
      <c r="H364" s="4" t="s">
        <v>1</v>
      </c>
      <c r="I364" s="4"/>
      <c r="J364" s="4" t="s">
        <v>16</v>
      </c>
      <c r="K364" s="371">
        <v>4</v>
      </c>
    </row>
    <row r="365" spans="2:11" x14ac:dyDescent="0.2">
      <c r="B365" s="3">
        <v>539</v>
      </c>
      <c r="C365" s="384">
        <v>0.53</v>
      </c>
      <c r="D365" s="4" t="s">
        <v>307</v>
      </c>
      <c r="E365" s="4" t="s">
        <v>0</v>
      </c>
      <c r="F365" s="4" t="s">
        <v>0</v>
      </c>
      <c r="G365" s="4" t="s">
        <v>3</v>
      </c>
      <c r="H365" s="4" t="s">
        <v>0</v>
      </c>
      <c r="I365" s="4" t="s">
        <v>3</v>
      </c>
      <c r="J365" s="4" t="s">
        <v>16</v>
      </c>
      <c r="K365" s="371">
        <v>4</v>
      </c>
    </row>
    <row r="366" spans="2:11" x14ac:dyDescent="0.2">
      <c r="B366" s="3">
        <v>540</v>
      </c>
      <c r="C366" s="384">
        <v>0.53</v>
      </c>
      <c r="D366" s="4" t="s">
        <v>307</v>
      </c>
      <c r="E366" s="4" t="s">
        <v>0</v>
      </c>
      <c r="F366" s="4" t="s">
        <v>0</v>
      </c>
      <c r="G366" s="4" t="s">
        <v>4</v>
      </c>
      <c r="H366" s="4" t="s">
        <v>0</v>
      </c>
      <c r="I366" s="4" t="s">
        <v>4</v>
      </c>
      <c r="J366" s="4" t="s">
        <v>16</v>
      </c>
      <c r="K366" s="371">
        <v>4</v>
      </c>
    </row>
    <row r="367" spans="2:11" x14ac:dyDescent="0.2">
      <c r="B367" s="3">
        <v>541</v>
      </c>
      <c r="C367" s="384">
        <v>0.53</v>
      </c>
      <c r="D367" s="4" t="s">
        <v>307</v>
      </c>
      <c r="E367" s="4" t="s">
        <v>0</v>
      </c>
      <c r="F367" s="4" t="s">
        <v>0</v>
      </c>
      <c r="G367" s="4" t="s">
        <v>5</v>
      </c>
      <c r="H367" s="4" t="s">
        <v>0</v>
      </c>
      <c r="I367" s="4" t="s">
        <v>5</v>
      </c>
      <c r="J367" s="4" t="s">
        <v>16</v>
      </c>
      <c r="K367" s="371">
        <v>4</v>
      </c>
    </row>
    <row r="368" spans="2:11" x14ac:dyDescent="0.2">
      <c r="B368" s="3">
        <v>542</v>
      </c>
      <c r="C368" s="384">
        <v>0.53</v>
      </c>
      <c r="D368" s="4" t="s">
        <v>308</v>
      </c>
      <c r="E368" s="4" t="s">
        <v>0</v>
      </c>
      <c r="F368" s="4" t="s">
        <v>0</v>
      </c>
      <c r="G368" s="4" t="s">
        <v>3</v>
      </c>
      <c r="H368" s="4" t="s">
        <v>1</v>
      </c>
      <c r="I368" s="4"/>
      <c r="J368" s="4" t="s">
        <v>16</v>
      </c>
      <c r="K368" s="371">
        <v>4</v>
      </c>
    </row>
    <row r="369" spans="2:11" x14ac:dyDescent="0.2">
      <c r="B369" s="3">
        <v>543</v>
      </c>
      <c r="C369" s="384">
        <v>0.53</v>
      </c>
      <c r="D369" s="4" t="s">
        <v>308</v>
      </c>
      <c r="E369" s="4" t="s">
        <v>0</v>
      </c>
      <c r="F369" s="4" t="s">
        <v>0</v>
      </c>
      <c r="G369" s="4" t="s">
        <v>4</v>
      </c>
      <c r="H369" s="4" t="s">
        <v>1</v>
      </c>
      <c r="I369" s="4"/>
      <c r="J369" s="4" t="s">
        <v>16</v>
      </c>
      <c r="K369" s="371">
        <v>4</v>
      </c>
    </row>
    <row r="370" spans="2:11" x14ac:dyDescent="0.2">
      <c r="B370" s="3">
        <v>544</v>
      </c>
      <c r="C370" s="384">
        <v>0.53</v>
      </c>
      <c r="D370" s="4" t="s">
        <v>308</v>
      </c>
      <c r="E370" s="4" t="s">
        <v>0</v>
      </c>
      <c r="F370" s="4" t="s">
        <v>0</v>
      </c>
      <c r="G370" s="4" t="s">
        <v>5</v>
      </c>
      <c r="H370" s="4" t="s">
        <v>1</v>
      </c>
      <c r="I370" s="4"/>
      <c r="J370" s="4" t="s">
        <v>16</v>
      </c>
      <c r="K370" s="371">
        <v>4</v>
      </c>
    </row>
    <row r="371" spans="2:11" x14ac:dyDescent="0.2">
      <c r="B371" s="3">
        <v>545</v>
      </c>
      <c r="C371" s="384">
        <v>0.53</v>
      </c>
      <c r="D371" s="4" t="s">
        <v>308</v>
      </c>
      <c r="E371" s="4" t="s">
        <v>0</v>
      </c>
      <c r="F371" s="4" t="s">
        <v>0</v>
      </c>
      <c r="G371" s="4" t="s">
        <v>3</v>
      </c>
      <c r="H371" s="4" t="s">
        <v>0</v>
      </c>
      <c r="I371" s="4" t="s">
        <v>3</v>
      </c>
      <c r="J371" s="4" t="s">
        <v>16</v>
      </c>
      <c r="K371" s="371">
        <v>4</v>
      </c>
    </row>
    <row r="372" spans="2:11" x14ac:dyDescent="0.2">
      <c r="B372" s="3">
        <v>546</v>
      </c>
      <c r="C372" s="384">
        <v>0.53</v>
      </c>
      <c r="D372" s="4" t="s">
        <v>308</v>
      </c>
      <c r="E372" s="4" t="s">
        <v>0</v>
      </c>
      <c r="F372" s="4" t="s">
        <v>0</v>
      </c>
      <c r="G372" s="4" t="s">
        <v>4</v>
      </c>
      <c r="H372" s="4" t="s">
        <v>0</v>
      </c>
      <c r="I372" s="4" t="s">
        <v>4</v>
      </c>
      <c r="J372" s="4" t="s">
        <v>16</v>
      </c>
      <c r="K372" s="371">
        <v>4</v>
      </c>
    </row>
    <row r="373" spans="2:11" x14ac:dyDescent="0.2">
      <c r="B373" s="3">
        <v>547</v>
      </c>
      <c r="C373" s="384">
        <v>0.53</v>
      </c>
      <c r="D373" s="4" t="s">
        <v>308</v>
      </c>
      <c r="E373" s="4" t="s">
        <v>0</v>
      </c>
      <c r="F373" s="4" t="s">
        <v>0</v>
      </c>
      <c r="G373" s="4" t="s">
        <v>5</v>
      </c>
      <c r="H373" s="4" t="s">
        <v>0</v>
      </c>
      <c r="I373" s="4" t="s">
        <v>5</v>
      </c>
      <c r="J373" s="4" t="s">
        <v>16</v>
      </c>
      <c r="K373" s="371">
        <v>4</v>
      </c>
    </row>
    <row r="374" spans="2:11" x14ac:dyDescent="0.2">
      <c r="B374" s="3"/>
      <c r="C374" s="384"/>
      <c r="D374" s="4"/>
      <c r="E374" s="4"/>
      <c r="F374" s="4"/>
      <c r="G374" s="4"/>
      <c r="H374" s="4"/>
      <c r="I374" s="4"/>
      <c r="J374" s="4"/>
      <c r="K374" s="371"/>
    </row>
    <row r="375" spans="2:11" x14ac:dyDescent="0.2">
      <c r="B375" s="3">
        <v>550</v>
      </c>
      <c r="C375" s="384">
        <v>15.67</v>
      </c>
      <c r="D375" s="4" t="s">
        <v>307</v>
      </c>
      <c r="E375" s="4" t="s">
        <v>0</v>
      </c>
      <c r="F375" s="4" t="s">
        <v>0</v>
      </c>
      <c r="G375" s="4" t="s">
        <v>3</v>
      </c>
      <c r="H375" s="4" t="s">
        <v>1</v>
      </c>
      <c r="I375" s="4"/>
      <c r="J375" s="4" t="s">
        <v>16</v>
      </c>
      <c r="K375" s="371">
        <v>5</v>
      </c>
    </row>
    <row r="376" spans="2:11" x14ac:dyDescent="0.2">
      <c r="B376" s="3">
        <v>551</v>
      </c>
      <c r="C376" s="4">
        <v>15.67</v>
      </c>
      <c r="D376" s="4" t="s">
        <v>307</v>
      </c>
      <c r="E376" s="4" t="s">
        <v>0</v>
      </c>
      <c r="F376" s="4" t="s">
        <v>0</v>
      </c>
      <c r="G376" s="4" t="s">
        <v>4</v>
      </c>
      <c r="H376" s="4" t="s">
        <v>1</v>
      </c>
      <c r="I376" s="4"/>
      <c r="J376" s="4" t="s">
        <v>16</v>
      </c>
      <c r="K376" s="371">
        <v>5</v>
      </c>
    </row>
    <row r="377" spans="2:11" x14ac:dyDescent="0.2">
      <c r="B377" s="3">
        <v>552</v>
      </c>
      <c r="C377" s="4">
        <v>15.67</v>
      </c>
      <c r="D377" s="4" t="s">
        <v>307</v>
      </c>
      <c r="E377" s="4" t="s">
        <v>0</v>
      </c>
      <c r="F377" s="4" t="s">
        <v>0</v>
      </c>
      <c r="G377" s="4" t="s">
        <v>5</v>
      </c>
      <c r="H377" s="4" t="s">
        <v>1</v>
      </c>
      <c r="I377" s="4"/>
      <c r="J377" s="4" t="s">
        <v>16</v>
      </c>
      <c r="K377" s="371">
        <v>5</v>
      </c>
    </row>
    <row r="378" spans="2:11" x14ac:dyDescent="0.2">
      <c r="B378" s="3">
        <v>553</v>
      </c>
      <c r="C378" s="4">
        <v>15.67</v>
      </c>
      <c r="D378" s="4" t="s">
        <v>307</v>
      </c>
      <c r="E378" s="4" t="s">
        <v>0</v>
      </c>
      <c r="F378" s="4" t="s">
        <v>0</v>
      </c>
      <c r="G378" s="4" t="s">
        <v>3</v>
      </c>
      <c r="H378" s="4" t="s">
        <v>0</v>
      </c>
      <c r="I378" s="4" t="s">
        <v>3</v>
      </c>
      <c r="J378" s="4" t="s">
        <v>16</v>
      </c>
      <c r="K378" s="371">
        <v>5</v>
      </c>
    </row>
    <row r="379" spans="2:11" x14ac:dyDescent="0.2">
      <c r="B379" s="3">
        <v>554</v>
      </c>
      <c r="C379" s="4">
        <v>15.67</v>
      </c>
      <c r="D379" s="4" t="s">
        <v>307</v>
      </c>
      <c r="E379" s="4" t="s">
        <v>0</v>
      </c>
      <c r="F379" s="4" t="s">
        <v>0</v>
      </c>
      <c r="G379" s="4" t="s">
        <v>4</v>
      </c>
      <c r="H379" s="4" t="s">
        <v>0</v>
      </c>
      <c r="I379" s="4" t="s">
        <v>4</v>
      </c>
      <c r="J379" s="4" t="s">
        <v>16</v>
      </c>
      <c r="K379" s="371">
        <v>5</v>
      </c>
    </row>
    <row r="380" spans="2:11" x14ac:dyDescent="0.2">
      <c r="B380" s="3">
        <v>555</v>
      </c>
      <c r="C380" s="4">
        <v>15.67</v>
      </c>
      <c r="D380" s="4" t="s">
        <v>307</v>
      </c>
      <c r="E380" s="4" t="s">
        <v>0</v>
      </c>
      <c r="F380" s="4" t="s">
        <v>0</v>
      </c>
      <c r="G380" s="4" t="s">
        <v>5</v>
      </c>
      <c r="H380" s="4" t="s">
        <v>0</v>
      </c>
      <c r="I380" s="4" t="s">
        <v>5</v>
      </c>
      <c r="J380" s="4" t="s">
        <v>16</v>
      </c>
      <c r="K380" s="371">
        <v>5</v>
      </c>
    </row>
    <row r="381" spans="2:11" x14ac:dyDescent="0.2">
      <c r="B381" s="3">
        <v>556</v>
      </c>
      <c r="C381" s="4">
        <v>15.67</v>
      </c>
      <c r="D381" s="4" t="s">
        <v>308</v>
      </c>
      <c r="E381" s="4" t="s">
        <v>0</v>
      </c>
      <c r="F381" s="4" t="s">
        <v>0</v>
      </c>
      <c r="G381" s="4" t="s">
        <v>3</v>
      </c>
      <c r="H381" s="4" t="s">
        <v>1</v>
      </c>
      <c r="I381" s="4"/>
      <c r="J381" s="4" t="s">
        <v>16</v>
      </c>
      <c r="K381" s="371">
        <v>5</v>
      </c>
    </row>
    <row r="382" spans="2:11" x14ac:dyDescent="0.2">
      <c r="B382" s="3">
        <v>557</v>
      </c>
      <c r="C382" s="4">
        <v>15.67</v>
      </c>
      <c r="D382" s="4" t="s">
        <v>308</v>
      </c>
      <c r="E382" s="4" t="s">
        <v>0</v>
      </c>
      <c r="F382" s="4" t="s">
        <v>0</v>
      </c>
      <c r="G382" s="4" t="s">
        <v>4</v>
      </c>
      <c r="H382" s="4" t="s">
        <v>1</v>
      </c>
      <c r="I382" s="4"/>
      <c r="J382" s="4" t="s">
        <v>16</v>
      </c>
      <c r="K382" s="371">
        <v>5</v>
      </c>
    </row>
    <row r="383" spans="2:11" x14ac:dyDescent="0.2">
      <c r="B383" s="3">
        <v>558</v>
      </c>
      <c r="C383" s="4">
        <v>15.67</v>
      </c>
      <c r="D383" s="4" t="s">
        <v>308</v>
      </c>
      <c r="E383" s="4" t="s">
        <v>0</v>
      </c>
      <c r="F383" s="4" t="s">
        <v>0</v>
      </c>
      <c r="G383" s="4" t="s">
        <v>5</v>
      </c>
      <c r="H383" s="4" t="s">
        <v>1</v>
      </c>
      <c r="I383" s="4"/>
      <c r="J383" s="4" t="s">
        <v>16</v>
      </c>
      <c r="K383" s="371">
        <v>5</v>
      </c>
    </row>
    <row r="384" spans="2:11" x14ac:dyDescent="0.2">
      <c r="B384" s="3">
        <v>559</v>
      </c>
      <c r="C384" s="4">
        <v>15.67</v>
      </c>
      <c r="D384" s="4" t="s">
        <v>308</v>
      </c>
      <c r="E384" s="4" t="s">
        <v>0</v>
      </c>
      <c r="F384" s="4" t="s">
        <v>0</v>
      </c>
      <c r="G384" s="4" t="s">
        <v>3</v>
      </c>
      <c r="H384" s="4" t="s">
        <v>0</v>
      </c>
      <c r="I384" s="4" t="s">
        <v>3</v>
      </c>
      <c r="J384" s="4" t="s">
        <v>16</v>
      </c>
      <c r="K384" s="371">
        <v>5</v>
      </c>
    </row>
    <row r="385" spans="2:11" x14ac:dyDescent="0.2">
      <c r="B385" s="3">
        <v>560</v>
      </c>
      <c r="C385" s="4">
        <v>15.67</v>
      </c>
      <c r="D385" s="4" t="s">
        <v>308</v>
      </c>
      <c r="E385" s="4" t="s">
        <v>0</v>
      </c>
      <c r="F385" s="4" t="s">
        <v>0</v>
      </c>
      <c r="G385" s="4" t="s">
        <v>4</v>
      </c>
      <c r="H385" s="4" t="s">
        <v>0</v>
      </c>
      <c r="I385" s="4" t="s">
        <v>4</v>
      </c>
      <c r="J385" s="4" t="s">
        <v>16</v>
      </c>
      <c r="K385" s="371">
        <v>5</v>
      </c>
    </row>
    <row r="386" spans="2:11" x14ac:dyDescent="0.2">
      <c r="B386" s="3">
        <v>561</v>
      </c>
      <c r="C386" s="4">
        <v>15.67</v>
      </c>
      <c r="D386" s="4" t="s">
        <v>308</v>
      </c>
      <c r="E386" s="4" t="s">
        <v>0</v>
      </c>
      <c r="F386" s="4" t="s">
        <v>0</v>
      </c>
      <c r="G386" s="4" t="s">
        <v>5</v>
      </c>
      <c r="H386" s="4" t="s">
        <v>0</v>
      </c>
      <c r="I386" s="4" t="s">
        <v>5</v>
      </c>
      <c r="J386" s="4" t="s">
        <v>16</v>
      </c>
      <c r="K386" s="371">
        <v>5</v>
      </c>
    </row>
    <row r="387" spans="2:11" x14ac:dyDescent="0.2">
      <c r="B387" s="3"/>
      <c r="C387" s="4"/>
      <c r="D387" s="4"/>
      <c r="E387" s="4"/>
      <c r="F387" s="4"/>
      <c r="G387" s="4"/>
      <c r="H387" s="4"/>
      <c r="I387" s="4"/>
      <c r="J387" s="4"/>
      <c r="K387" s="371"/>
    </row>
    <row r="388" spans="2:11" x14ac:dyDescent="0.2">
      <c r="B388" s="3">
        <v>562</v>
      </c>
      <c r="C388" s="384">
        <v>2.85</v>
      </c>
      <c r="D388" s="4" t="s">
        <v>307</v>
      </c>
      <c r="E388" s="4" t="s">
        <v>0</v>
      </c>
      <c r="F388" s="4" t="s">
        <v>0</v>
      </c>
      <c r="G388" s="4" t="s">
        <v>3</v>
      </c>
      <c r="H388" s="4" t="s">
        <v>1</v>
      </c>
      <c r="I388" s="4"/>
      <c r="J388" s="4" t="s">
        <v>16</v>
      </c>
      <c r="K388" s="371">
        <v>5</v>
      </c>
    </row>
    <row r="389" spans="2:11" x14ac:dyDescent="0.2">
      <c r="B389" s="3">
        <v>563</v>
      </c>
      <c r="C389" s="384">
        <v>2.85</v>
      </c>
      <c r="D389" s="4" t="s">
        <v>307</v>
      </c>
      <c r="E389" s="4" t="s">
        <v>0</v>
      </c>
      <c r="F389" s="4" t="s">
        <v>0</v>
      </c>
      <c r="G389" s="4" t="s">
        <v>4</v>
      </c>
      <c r="H389" s="4" t="s">
        <v>1</v>
      </c>
      <c r="I389" s="4"/>
      <c r="J389" s="4" t="s">
        <v>16</v>
      </c>
      <c r="K389" s="371">
        <v>5</v>
      </c>
    </row>
    <row r="390" spans="2:11" x14ac:dyDescent="0.2">
      <c r="B390" s="3">
        <v>564</v>
      </c>
      <c r="C390" s="384">
        <v>2.85</v>
      </c>
      <c r="D390" s="4" t="s">
        <v>307</v>
      </c>
      <c r="E390" s="4" t="s">
        <v>0</v>
      </c>
      <c r="F390" s="4" t="s">
        <v>0</v>
      </c>
      <c r="G390" s="4" t="s">
        <v>5</v>
      </c>
      <c r="H390" s="4" t="s">
        <v>1</v>
      </c>
      <c r="I390" s="4"/>
      <c r="J390" s="4" t="s">
        <v>16</v>
      </c>
      <c r="K390" s="371">
        <v>5</v>
      </c>
    </row>
    <row r="391" spans="2:11" x14ac:dyDescent="0.2">
      <c r="B391" s="3">
        <v>565</v>
      </c>
      <c r="C391" s="384">
        <v>2.85</v>
      </c>
      <c r="D391" s="4" t="s">
        <v>307</v>
      </c>
      <c r="E391" s="4" t="s">
        <v>0</v>
      </c>
      <c r="F391" s="4" t="s">
        <v>0</v>
      </c>
      <c r="G391" s="4" t="s">
        <v>3</v>
      </c>
      <c r="H391" s="4" t="s">
        <v>0</v>
      </c>
      <c r="I391" s="4" t="s">
        <v>3</v>
      </c>
      <c r="J391" s="4" t="s">
        <v>16</v>
      </c>
      <c r="K391" s="371">
        <v>5</v>
      </c>
    </row>
    <row r="392" spans="2:11" x14ac:dyDescent="0.2">
      <c r="B392" s="3">
        <v>566</v>
      </c>
      <c r="C392" s="384">
        <v>2.85</v>
      </c>
      <c r="D392" s="4" t="s">
        <v>307</v>
      </c>
      <c r="E392" s="4" t="s">
        <v>0</v>
      </c>
      <c r="F392" s="4" t="s">
        <v>0</v>
      </c>
      <c r="G392" s="4" t="s">
        <v>4</v>
      </c>
      <c r="H392" s="4" t="s">
        <v>0</v>
      </c>
      <c r="I392" s="4" t="s">
        <v>4</v>
      </c>
      <c r="J392" s="4" t="s">
        <v>16</v>
      </c>
      <c r="K392" s="371">
        <v>5</v>
      </c>
    </row>
    <row r="393" spans="2:11" x14ac:dyDescent="0.2">
      <c r="B393" s="3">
        <v>567</v>
      </c>
      <c r="C393" s="384">
        <v>2.85</v>
      </c>
      <c r="D393" s="4" t="s">
        <v>307</v>
      </c>
      <c r="E393" s="4" t="s">
        <v>0</v>
      </c>
      <c r="F393" s="4" t="s">
        <v>0</v>
      </c>
      <c r="G393" s="4" t="s">
        <v>5</v>
      </c>
      <c r="H393" s="4" t="s">
        <v>0</v>
      </c>
      <c r="I393" s="4" t="s">
        <v>5</v>
      </c>
      <c r="J393" s="4" t="s">
        <v>16</v>
      </c>
      <c r="K393" s="371">
        <v>5</v>
      </c>
    </row>
    <row r="394" spans="2:11" x14ac:dyDescent="0.2">
      <c r="B394" s="3">
        <v>568</v>
      </c>
      <c r="C394" s="384">
        <v>2.85</v>
      </c>
      <c r="D394" s="4" t="s">
        <v>308</v>
      </c>
      <c r="E394" s="4" t="s">
        <v>0</v>
      </c>
      <c r="F394" s="4" t="s">
        <v>0</v>
      </c>
      <c r="G394" s="4" t="s">
        <v>3</v>
      </c>
      <c r="H394" s="4" t="s">
        <v>1</v>
      </c>
      <c r="I394" s="4"/>
      <c r="J394" s="4" t="s">
        <v>16</v>
      </c>
      <c r="K394" s="371">
        <v>5</v>
      </c>
    </row>
    <row r="395" spans="2:11" x14ac:dyDescent="0.2">
      <c r="B395" s="3">
        <v>569</v>
      </c>
      <c r="C395" s="384">
        <v>2.85</v>
      </c>
      <c r="D395" s="4" t="s">
        <v>308</v>
      </c>
      <c r="E395" s="4" t="s">
        <v>0</v>
      </c>
      <c r="F395" s="4" t="s">
        <v>0</v>
      </c>
      <c r="G395" s="4" t="s">
        <v>4</v>
      </c>
      <c r="H395" s="4" t="s">
        <v>1</v>
      </c>
      <c r="I395" s="4"/>
      <c r="J395" s="4" t="s">
        <v>16</v>
      </c>
      <c r="K395" s="371">
        <v>5</v>
      </c>
    </row>
    <row r="396" spans="2:11" x14ac:dyDescent="0.2">
      <c r="B396" s="3">
        <v>570</v>
      </c>
      <c r="C396" s="384">
        <v>2.85</v>
      </c>
      <c r="D396" s="4" t="s">
        <v>308</v>
      </c>
      <c r="E396" s="4" t="s">
        <v>0</v>
      </c>
      <c r="F396" s="4" t="s">
        <v>0</v>
      </c>
      <c r="G396" s="4" t="s">
        <v>5</v>
      </c>
      <c r="H396" s="4" t="s">
        <v>1</v>
      </c>
      <c r="I396" s="4"/>
      <c r="J396" s="4" t="s">
        <v>16</v>
      </c>
      <c r="K396" s="371">
        <v>5</v>
      </c>
    </row>
    <row r="397" spans="2:11" x14ac:dyDescent="0.2">
      <c r="B397" s="3">
        <v>571</v>
      </c>
      <c r="C397" s="384">
        <v>2.85</v>
      </c>
      <c r="D397" s="4" t="s">
        <v>308</v>
      </c>
      <c r="E397" s="4" t="s">
        <v>0</v>
      </c>
      <c r="F397" s="4" t="s">
        <v>0</v>
      </c>
      <c r="G397" s="4" t="s">
        <v>3</v>
      </c>
      <c r="H397" s="4" t="s">
        <v>0</v>
      </c>
      <c r="I397" s="4" t="s">
        <v>3</v>
      </c>
      <c r="J397" s="4" t="s">
        <v>16</v>
      </c>
      <c r="K397" s="371">
        <v>5</v>
      </c>
    </row>
    <row r="398" spans="2:11" x14ac:dyDescent="0.2">
      <c r="B398" s="3">
        <v>572</v>
      </c>
      <c r="C398" s="384">
        <v>2.85</v>
      </c>
      <c r="D398" s="4" t="s">
        <v>308</v>
      </c>
      <c r="E398" s="4" t="s">
        <v>0</v>
      </c>
      <c r="F398" s="4" t="s">
        <v>0</v>
      </c>
      <c r="G398" s="4" t="s">
        <v>4</v>
      </c>
      <c r="H398" s="4" t="s">
        <v>0</v>
      </c>
      <c r="I398" s="4" t="s">
        <v>4</v>
      </c>
      <c r="J398" s="4" t="s">
        <v>16</v>
      </c>
      <c r="K398" s="371">
        <v>5</v>
      </c>
    </row>
    <row r="399" spans="2:11" x14ac:dyDescent="0.2">
      <c r="B399" s="3">
        <v>573</v>
      </c>
      <c r="C399" s="384">
        <v>2.85</v>
      </c>
      <c r="D399" s="4" t="s">
        <v>308</v>
      </c>
      <c r="E399" s="4" t="s">
        <v>0</v>
      </c>
      <c r="F399" s="4" t="s">
        <v>0</v>
      </c>
      <c r="G399" s="4" t="s">
        <v>5</v>
      </c>
      <c r="H399" s="4" t="s">
        <v>0</v>
      </c>
      <c r="I399" s="4" t="s">
        <v>5</v>
      </c>
      <c r="J399" s="4" t="s">
        <v>16</v>
      </c>
      <c r="K399" s="371">
        <v>5</v>
      </c>
    </row>
    <row r="400" spans="2:11" x14ac:dyDescent="0.2">
      <c r="B400" s="3"/>
      <c r="C400" s="4"/>
      <c r="D400" s="4"/>
      <c r="E400" s="384"/>
      <c r="F400" s="4"/>
      <c r="G400" s="4"/>
      <c r="H400" s="4"/>
      <c r="I400" s="4"/>
      <c r="J400" s="4"/>
      <c r="K400" s="371"/>
    </row>
    <row r="401" spans="2:11" x14ac:dyDescent="0.2">
      <c r="B401" s="3">
        <v>574</v>
      </c>
      <c r="C401" s="384">
        <v>1</v>
      </c>
      <c r="D401" s="4" t="s">
        <v>307</v>
      </c>
      <c r="E401" s="4" t="s">
        <v>0</v>
      </c>
      <c r="F401" s="4" t="s">
        <v>0</v>
      </c>
      <c r="G401" s="4" t="s">
        <v>3</v>
      </c>
      <c r="H401" s="4" t="s">
        <v>1</v>
      </c>
      <c r="I401" s="4"/>
      <c r="J401" s="4" t="s">
        <v>16</v>
      </c>
      <c r="K401" s="371">
        <v>5</v>
      </c>
    </row>
    <row r="402" spans="2:11" x14ac:dyDescent="0.2">
      <c r="B402" s="3">
        <v>575</v>
      </c>
      <c r="C402" s="384">
        <v>1</v>
      </c>
      <c r="D402" s="4" t="s">
        <v>307</v>
      </c>
      <c r="E402" s="4" t="s">
        <v>0</v>
      </c>
      <c r="F402" s="4" t="s">
        <v>0</v>
      </c>
      <c r="G402" s="4" t="s">
        <v>4</v>
      </c>
      <c r="H402" s="4" t="s">
        <v>1</v>
      </c>
      <c r="I402" s="4"/>
      <c r="J402" s="4" t="s">
        <v>16</v>
      </c>
      <c r="K402" s="371">
        <v>5</v>
      </c>
    </row>
    <row r="403" spans="2:11" x14ac:dyDescent="0.2">
      <c r="B403" s="3">
        <v>576</v>
      </c>
      <c r="C403" s="384">
        <v>1</v>
      </c>
      <c r="D403" s="4" t="s">
        <v>307</v>
      </c>
      <c r="E403" s="4" t="s">
        <v>0</v>
      </c>
      <c r="F403" s="4" t="s">
        <v>0</v>
      </c>
      <c r="G403" s="4" t="s">
        <v>5</v>
      </c>
      <c r="H403" s="4" t="s">
        <v>1</v>
      </c>
      <c r="I403" s="4"/>
      <c r="J403" s="4" t="s">
        <v>16</v>
      </c>
      <c r="K403" s="371">
        <v>5</v>
      </c>
    </row>
    <row r="404" spans="2:11" x14ac:dyDescent="0.2">
      <c r="B404" s="3">
        <v>577</v>
      </c>
      <c r="C404" s="384">
        <v>1</v>
      </c>
      <c r="D404" s="4" t="s">
        <v>307</v>
      </c>
      <c r="E404" s="4" t="s">
        <v>0</v>
      </c>
      <c r="F404" s="4" t="s">
        <v>0</v>
      </c>
      <c r="G404" s="4" t="s">
        <v>3</v>
      </c>
      <c r="H404" s="4" t="s">
        <v>0</v>
      </c>
      <c r="I404" s="4" t="s">
        <v>3</v>
      </c>
      <c r="J404" s="4" t="s">
        <v>16</v>
      </c>
      <c r="K404" s="371">
        <v>5</v>
      </c>
    </row>
    <row r="405" spans="2:11" x14ac:dyDescent="0.2">
      <c r="B405" s="3">
        <v>578</v>
      </c>
      <c r="C405" s="384">
        <v>1</v>
      </c>
      <c r="D405" s="4" t="s">
        <v>307</v>
      </c>
      <c r="E405" s="4" t="s">
        <v>0</v>
      </c>
      <c r="F405" s="4" t="s">
        <v>0</v>
      </c>
      <c r="G405" s="4" t="s">
        <v>4</v>
      </c>
      <c r="H405" s="4" t="s">
        <v>0</v>
      </c>
      <c r="I405" s="4" t="s">
        <v>4</v>
      </c>
      <c r="J405" s="4" t="s">
        <v>16</v>
      </c>
      <c r="K405" s="371">
        <v>5</v>
      </c>
    </row>
    <row r="406" spans="2:11" x14ac:dyDescent="0.2">
      <c r="B406" s="3">
        <v>579</v>
      </c>
      <c r="C406" s="384">
        <v>1</v>
      </c>
      <c r="D406" s="4" t="s">
        <v>307</v>
      </c>
      <c r="E406" s="4" t="s">
        <v>0</v>
      </c>
      <c r="F406" s="4" t="s">
        <v>0</v>
      </c>
      <c r="G406" s="4" t="s">
        <v>5</v>
      </c>
      <c r="H406" s="4" t="s">
        <v>0</v>
      </c>
      <c r="I406" s="4" t="s">
        <v>5</v>
      </c>
      <c r="J406" s="4" t="s">
        <v>16</v>
      </c>
      <c r="K406" s="371">
        <v>5</v>
      </c>
    </row>
    <row r="407" spans="2:11" x14ac:dyDescent="0.2">
      <c r="B407" s="3">
        <v>580</v>
      </c>
      <c r="C407" s="384">
        <v>1</v>
      </c>
      <c r="D407" s="4" t="s">
        <v>308</v>
      </c>
      <c r="E407" s="4" t="s">
        <v>0</v>
      </c>
      <c r="F407" s="4" t="s">
        <v>0</v>
      </c>
      <c r="G407" s="4" t="s">
        <v>3</v>
      </c>
      <c r="H407" s="4" t="s">
        <v>1</v>
      </c>
      <c r="I407" s="4"/>
      <c r="J407" s="4" t="s">
        <v>16</v>
      </c>
      <c r="K407" s="371">
        <v>5</v>
      </c>
    </row>
    <row r="408" spans="2:11" x14ac:dyDescent="0.2">
      <c r="B408" s="3">
        <v>581</v>
      </c>
      <c r="C408" s="384">
        <v>1</v>
      </c>
      <c r="D408" s="4" t="s">
        <v>308</v>
      </c>
      <c r="E408" s="4" t="s">
        <v>0</v>
      </c>
      <c r="F408" s="4" t="s">
        <v>0</v>
      </c>
      <c r="G408" s="4" t="s">
        <v>4</v>
      </c>
      <c r="H408" s="4" t="s">
        <v>1</v>
      </c>
      <c r="I408" s="4"/>
      <c r="J408" s="4" t="s">
        <v>16</v>
      </c>
      <c r="K408" s="371">
        <v>5</v>
      </c>
    </row>
    <row r="409" spans="2:11" x14ac:dyDescent="0.2">
      <c r="B409" s="3">
        <v>582</v>
      </c>
      <c r="C409" s="384">
        <v>1</v>
      </c>
      <c r="D409" s="4" t="s">
        <v>308</v>
      </c>
      <c r="E409" s="4" t="s">
        <v>0</v>
      </c>
      <c r="F409" s="4" t="s">
        <v>0</v>
      </c>
      <c r="G409" s="4" t="s">
        <v>5</v>
      </c>
      <c r="H409" s="4" t="s">
        <v>1</v>
      </c>
      <c r="I409" s="4"/>
      <c r="J409" s="4" t="s">
        <v>16</v>
      </c>
      <c r="K409" s="371">
        <v>5</v>
      </c>
    </row>
    <row r="410" spans="2:11" x14ac:dyDescent="0.2">
      <c r="B410" s="3">
        <v>583</v>
      </c>
      <c r="C410" s="384">
        <v>1</v>
      </c>
      <c r="D410" s="4" t="s">
        <v>308</v>
      </c>
      <c r="E410" s="4" t="s">
        <v>0</v>
      </c>
      <c r="F410" s="4" t="s">
        <v>0</v>
      </c>
      <c r="G410" s="4" t="s">
        <v>3</v>
      </c>
      <c r="H410" s="4" t="s">
        <v>0</v>
      </c>
      <c r="I410" s="4" t="s">
        <v>3</v>
      </c>
      <c r="J410" s="4" t="s">
        <v>16</v>
      </c>
      <c r="K410" s="371">
        <v>5</v>
      </c>
    </row>
    <row r="411" spans="2:11" x14ac:dyDescent="0.2">
      <c r="B411" s="3">
        <v>584</v>
      </c>
      <c r="C411" s="384">
        <v>1</v>
      </c>
      <c r="D411" s="4" t="s">
        <v>308</v>
      </c>
      <c r="E411" s="4" t="s">
        <v>0</v>
      </c>
      <c r="F411" s="4" t="s">
        <v>0</v>
      </c>
      <c r="G411" s="4" t="s">
        <v>4</v>
      </c>
      <c r="H411" s="4" t="s">
        <v>0</v>
      </c>
      <c r="I411" s="4" t="s">
        <v>4</v>
      </c>
      <c r="J411" s="4" t="s">
        <v>16</v>
      </c>
      <c r="K411" s="371">
        <v>5</v>
      </c>
    </row>
    <row r="412" spans="2:11" x14ac:dyDescent="0.2">
      <c r="B412" s="3">
        <v>585</v>
      </c>
      <c r="C412" s="384">
        <v>1</v>
      </c>
      <c r="D412" s="4" t="s">
        <v>308</v>
      </c>
      <c r="E412" s="4" t="s">
        <v>0</v>
      </c>
      <c r="F412" s="4" t="s">
        <v>0</v>
      </c>
      <c r="G412" s="4" t="s">
        <v>5</v>
      </c>
      <c r="H412" s="4" t="s">
        <v>0</v>
      </c>
      <c r="I412" s="4" t="s">
        <v>5</v>
      </c>
      <c r="J412" s="4" t="s">
        <v>16</v>
      </c>
      <c r="K412" s="371">
        <v>5</v>
      </c>
    </row>
    <row r="413" spans="2:11" x14ac:dyDescent="0.2">
      <c r="B413" s="3"/>
      <c r="C413" s="4"/>
      <c r="D413" s="4"/>
      <c r="E413" s="384"/>
      <c r="F413" s="4"/>
      <c r="G413" s="4"/>
      <c r="H413" s="4"/>
      <c r="I413" s="4"/>
      <c r="J413" s="4"/>
      <c r="K413" s="371"/>
    </row>
    <row r="414" spans="2:11" x14ac:dyDescent="0.2">
      <c r="B414" s="3">
        <v>586</v>
      </c>
      <c r="C414" s="384">
        <v>0.53</v>
      </c>
      <c r="D414" s="4" t="s">
        <v>307</v>
      </c>
      <c r="E414" s="4" t="s">
        <v>0</v>
      </c>
      <c r="F414" s="4" t="s">
        <v>0</v>
      </c>
      <c r="G414" s="4" t="s">
        <v>3</v>
      </c>
      <c r="H414" s="4" t="s">
        <v>1</v>
      </c>
      <c r="I414" s="4"/>
      <c r="J414" s="4" t="s">
        <v>16</v>
      </c>
      <c r="K414" s="371">
        <v>5</v>
      </c>
    </row>
    <row r="415" spans="2:11" x14ac:dyDescent="0.2">
      <c r="B415" s="3">
        <v>587</v>
      </c>
      <c r="C415" s="384">
        <v>0.53</v>
      </c>
      <c r="D415" s="4" t="s">
        <v>307</v>
      </c>
      <c r="E415" s="4" t="s">
        <v>0</v>
      </c>
      <c r="F415" s="4" t="s">
        <v>0</v>
      </c>
      <c r="G415" s="4" t="s">
        <v>4</v>
      </c>
      <c r="H415" s="4" t="s">
        <v>1</v>
      </c>
      <c r="I415" s="4"/>
      <c r="J415" s="4" t="s">
        <v>16</v>
      </c>
      <c r="K415" s="371">
        <v>5</v>
      </c>
    </row>
    <row r="416" spans="2:11" x14ac:dyDescent="0.2">
      <c r="B416" s="3">
        <v>588</v>
      </c>
      <c r="C416" s="384">
        <v>0.53</v>
      </c>
      <c r="D416" s="4" t="s">
        <v>307</v>
      </c>
      <c r="E416" s="4" t="s">
        <v>0</v>
      </c>
      <c r="F416" s="4" t="s">
        <v>0</v>
      </c>
      <c r="G416" s="4" t="s">
        <v>5</v>
      </c>
      <c r="H416" s="4" t="s">
        <v>1</v>
      </c>
      <c r="I416" s="4"/>
      <c r="J416" s="4" t="s">
        <v>16</v>
      </c>
      <c r="K416" s="371">
        <v>5</v>
      </c>
    </row>
    <row r="417" spans="2:11" x14ac:dyDescent="0.2">
      <c r="B417" s="3">
        <v>589</v>
      </c>
      <c r="C417" s="384">
        <v>0.53</v>
      </c>
      <c r="D417" s="4" t="s">
        <v>307</v>
      </c>
      <c r="E417" s="4" t="s">
        <v>0</v>
      </c>
      <c r="F417" s="4" t="s">
        <v>0</v>
      </c>
      <c r="G417" s="4" t="s">
        <v>3</v>
      </c>
      <c r="H417" s="4" t="s">
        <v>0</v>
      </c>
      <c r="I417" s="4" t="s">
        <v>3</v>
      </c>
      <c r="J417" s="4" t="s">
        <v>16</v>
      </c>
      <c r="K417" s="371">
        <v>5</v>
      </c>
    </row>
    <row r="418" spans="2:11" x14ac:dyDescent="0.2">
      <c r="B418" s="3">
        <v>590</v>
      </c>
      <c r="C418" s="384">
        <v>0.53</v>
      </c>
      <c r="D418" s="4" t="s">
        <v>307</v>
      </c>
      <c r="E418" s="4" t="s">
        <v>0</v>
      </c>
      <c r="F418" s="4" t="s">
        <v>0</v>
      </c>
      <c r="G418" s="4" t="s">
        <v>4</v>
      </c>
      <c r="H418" s="4" t="s">
        <v>0</v>
      </c>
      <c r="I418" s="4" t="s">
        <v>4</v>
      </c>
      <c r="J418" s="4" t="s">
        <v>16</v>
      </c>
      <c r="K418" s="371">
        <v>5</v>
      </c>
    </row>
    <row r="419" spans="2:11" x14ac:dyDescent="0.2">
      <c r="B419" s="3">
        <v>591</v>
      </c>
      <c r="C419" s="384">
        <v>0.53</v>
      </c>
      <c r="D419" s="4" t="s">
        <v>307</v>
      </c>
      <c r="E419" s="4" t="s">
        <v>0</v>
      </c>
      <c r="F419" s="4" t="s">
        <v>0</v>
      </c>
      <c r="G419" s="4" t="s">
        <v>5</v>
      </c>
      <c r="H419" s="4" t="s">
        <v>0</v>
      </c>
      <c r="I419" s="4" t="s">
        <v>5</v>
      </c>
      <c r="J419" s="4" t="s">
        <v>16</v>
      </c>
      <c r="K419" s="371">
        <v>5</v>
      </c>
    </row>
    <row r="420" spans="2:11" x14ac:dyDescent="0.2">
      <c r="B420" s="3">
        <v>592</v>
      </c>
      <c r="C420" s="384">
        <v>0.53</v>
      </c>
      <c r="D420" s="4" t="s">
        <v>308</v>
      </c>
      <c r="E420" s="4" t="s">
        <v>0</v>
      </c>
      <c r="F420" s="4" t="s">
        <v>0</v>
      </c>
      <c r="G420" s="4" t="s">
        <v>3</v>
      </c>
      <c r="H420" s="4" t="s">
        <v>1</v>
      </c>
      <c r="I420" s="4"/>
      <c r="J420" s="4" t="s">
        <v>16</v>
      </c>
      <c r="K420" s="371">
        <v>5</v>
      </c>
    </row>
    <row r="421" spans="2:11" x14ac:dyDescent="0.2">
      <c r="B421" s="3">
        <v>593</v>
      </c>
      <c r="C421" s="384">
        <v>0.53</v>
      </c>
      <c r="D421" s="4" t="s">
        <v>308</v>
      </c>
      <c r="E421" s="4" t="s">
        <v>0</v>
      </c>
      <c r="F421" s="4" t="s">
        <v>0</v>
      </c>
      <c r="G421" s="4" t="s">
        <v>4</v>
      </c>
      <c r="H421" s="4" t="s">
        <v>1</v>
      </c>
      <c r="I421" s="4"/>
      <c r="J421" s="4" t="s">
        <v>16</v>
      </c>
      <c r="K421" s="371">
        <v>5</v>
      </c>
    </row>
    <row r="422" spans="2:11" x14ac:dyDescent="0.2">
      <c r="B422" s="3">
        <v>594</v>
      </c>
      <c r="C422" s="384">
        <v>0.53</v>
      </c>
      <c r="D422" s="4" t="s">
        <v>308</v>
      </c>
      <c r="E422" s="4" t="s">
        <v>0</v>
      </c>
      <c r="F422" s="4" t="s">
        <v>0</v>
      </c>
      <c r="G422" s="4" t="s">
        <v>5</v>
      </c>
      <c r="H422" s="4" t="s">
        <v>1</v>
      </c>
      <c r="I422" s="4"/>
      <c r="J422" s="4" t="s">
        <v>16</v>
      </c>
      <c r="K422" s="371">
        <v>5</v>
      </c>
    </row>
    <row r="423" spans="2:11" x14ac:dyDescent="0.2">
      <c r="B423" s="3">
        <v>595</v>
      </c>
      <c r="C423" s="384">
        <v>0.53</v>
      </c>
      <c r="D423" s="4" t="s">
        <v>308</v>
      </c>
      <c r="E423" s="4" t="s">
        <v>0</v>
      </c>
      <c r="F423" s="4" t="s">
        <v>0</v>
      </c>
      <c r="G423" s="4" t="s">
        <v>3</v>
      </c>
      <c r="H423" s="4" t="s">
        <v>0</v>
      </c>
      <c r="I423" s="4" t="s">
        <v>3</v>
      </c>
      <c r="J423" s="4" t="s">
        <v>16</v>
      </c>
      <c r="K423" s="371">
        <v>5</v>
      </c>
    </row>
    <row r="424" spans="2:11" x14ac:dyDescent="0.2">
      <c r="B424" s="3">
        <v>596</v>
      </c>
      <c r="C424" s="384">
        <v>0.53</v>
      </c>
      <c r="D424" s="4" t="s">
        <v>308</v>
      </c>
      <c r="E424" s="4" t="s">
        <v>0</v>
      </c>
      <c r="F424" s="4" t="s">
        <v>0</v>
      </c>
      <c r="G424" s="4" t="s">
        <v>4</v>
      </c>
      <c r="H424" s="4" t="s">
        <v>0</v>
      </c>
      <c r="I424" s="4" t="s">
        <v>4</v>
      </c>
      <c r="J424" s="4" t="s">
        <v>16</v>
      </c>
      <c r="K424" s="371">
        <v>5</v>
      </c>
    </row>
    <row r="425" spans="2:11" ht="15.75" thickBot="1" x14ac:dyDescent="0.25">
      <c r="B425" s="5">
        <v>597</v>
      </c>
      <c r="C425" s="7">
        <v>0.53</v>
      </c>
      <c r="D425" s="6" t="s">
        <v>308</v>
      </c>
      <c r="E425" s="6" t="s">
        <v>0</v>
      </c>
      <c r="F425" s="6" t="s">
        <v>0</v>
      </c>
      <c r="G425" s="6" t="s">
        <v>5</v>
      </c>
      <c r="H425" s="6" t="s">
        <v>0</v>
      </c>
      <c r="I425" s="6" t="s">
        <v>5</v>
      </c>
      <c r="J425" s="6" t="s">
        <v>16</v>
      </c>
      <c r="K425" s="372">
        <v>5</v>
      </c>
    </row>
    <row r="426" spans="2:11" x14ac:dyDescent="0.2">
      <c r="K426" s="374"/>
    </row>
    <row r="428" spans="2:11" x14ac:dyDescent="0.2">
      <c r="B428" s="384">
        <v>0.53</v>
      </c>
      <c r="C428" s="4">
        <v>606</v>
      </c>
    </row>
    <row r="429" spans="2:11" x14ac:dyDescent="0.2">
      <c r="B429" s="384">
        <v>1</v>
      </c>
      <c r="C429" s="4">
        <v>604</v>
      </c>
    </row>
    <row r="430" spans="2:11" x14ac:dyDescent="0.2">
      <c r="B430" s="384">
        <v>2.85</v>
      </c>
      <c r="C430" s="4">
        <v>602</v>
      </c>
    </row>
    <row r="431" spans="2:11" x14ac:dyDescent="0.2">
      <c r="B431" s="4">
        <v>15.67</v>
      </c>
      <c r="C431" s="4">
        <v>600</v>
      </c>
    </row>
  </sheetData>
  <mergeCells count="5">
    <mergeCell ref="B3:B4"/>
    <mergeCell ref="C3:J3"/>
    <mergeCell ref="H4:I4"/>
    <mergeCell ref="F4:G4"/>
    <mergeCell ref="K3:K4"/>
  </mergeCells>
  <pageMargins left="0.75" right="0.75" top="1" bottom="1" header="0.5" footer="0.5"/>
  <pageSetup scale="71" fitToHeight="10" orientation="landscape" r:id="rId1"/>
  <headerFooter alignWithMargins="0">
    <oddHeader>&amp;C&amp;10&amp;A</oddHeader>
    <oddFooter>&amp;L&amp;10&amp;F&amp;C&amp;10Page &amp;P of &amp;N Pages&amp;R&amp;10&amp;D  &amp;T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51"/>
  <sheetViews>
    <sheetView workbookViewId="0"/>
  </sheetViews>
  <sheetFormatPr defaultColWidth="8.875" defaultRowHeight="15" x14ac:dyDescent="0.2"/>
  <cols>
    <col min="1" max="1" width="8.875" style="511"/>
    <col min="2" max="2" width="41.625" style="511" bestFit="1" customWidth="1"/>
    <col min="3" max="5" width="8.875" style="511"/>
    <col min="6" max="6" width="11.375" style="511" bestFit="1" customWidth="1"/>
    <col min="7" max="7" width="8.875" style="511"/>
    <col min="8" max="8" width="17.375" style="511" bestFit="1" customWidth="1"/>
    <col min="9" max="9" width="8.875" style="511"/>
    <col min="10" max="10" width="12.75" style="511" bestFit="1" customWidth="1"/>
    <col min="11" max="16384" width="8.875" style="511"/>
  </cols>
  <sheetData>
    <row r="3" spans="2:10" x14ac:dyDescent="0.2">
      <c r="B3" s="511" t="s">
        <v>673</v>
      </c>
    </row>
    <row r="5" spans="2:10" x14ac:dyDescent="0.2">
      <c r="B5" s="511" t="s">
        <v>671</v>
      </c>
      <c r="D5" s="515" t="s">
        <v>682</v>
      </c>
      <c r="F5" s="515" t="s">
        <v>683</v>
      </c>
      <c r="H5" s="511" t="s">
        <v>672</v>
      </c>
      <c r="J5" s="520" t="s">
        <v>694</v>
      </c>
    </row>
    <row r="7" spans="2:10" ht="15.75" x14ac:dyDescent="0.25">
      <c r="B7" s="511" t="s">
        <v>373</v>
      </c>
      <c r="D7" s="511" t="s">
        <v>677</v>
      </c>
      <c r="F7" s="511" t="s">
        <v>678</v>
      </c>
      <c r="H7" s="511" t="s">
        <v>674</v>
      </c>
      <c r="J7" s="522" t="s">
        <v>695</v>
      </c>
    </row>
    <row r="8" spans="2:10" ht="15.75" x14ac:dyDescent="0.25">
      <c r="H8" s="511" t="s">
        <v>675</v>
      </c>
      <c r="J8" s="522" t="s">
        <v>695</v>
      </c>
    </row>
    <row r="10" spans="2:10" ht="15.75" x14ac:dyDescent="0.25">
      <c r="B10" s="511" t="s">
        <v>530</v>
      </c>
      <c r="D10" s="515" t="s">
        <v>677</v>
      </c>
      <c r="F10" s="515" t="s">
        <v>678</v>
      </c>
      <c r="H10" s="511" t="s">
        <v>674</v>
      </c>
      <c r="J10" s="522" t="s">
        <v>695</v>
      </c>
    </row>
    <row r="11" spans="2:10" ht="15.75" x14ac:dyDescent="0.25">
      <c r="H11" s="515" t="s">
        <v>684</v>
      </c>
      <c r="J11" s="522" t="s">
        <v>695</v>
      </c>
    </row>
    <row r="13" spans="2:10" ht="15.75" x14ac:dyDescent="0.25">
      <c r="B13" s="511" t="s">
        <v>536</v>
      </c>
      <c r="D13" s="515" t="s">
        <v>677</v>
      </c>
      <c r="F13" s="515" t="s">
        <v>678</v>
      </c>
      <c r="H13" s="511" t="s">
        <v>674</v>
      </c>
      <c r="J13" s="522" t="s">
        <v>695</v>
      </c>
    </row>
    <row r="14" spans="2:10" ht="15.75" x14ac:dyDescent="0.25">
      <c r="H14" s="511" t="s">
        <v>675</v>
      </c>
      <c r="J14" s="522" t="s">
        <v>695</v>
      </c>
    </row>
    <row r="16" spans="2:10" ht="15.75" x14ac:dyDescent="0.25">
      <c r="B16" s="511" t="s">
        <v>616</v>
      </c>
      <c r="D16" s="515" t="s">
        <v>677</v>
      </c>
      <c r="F16" s="516" t="s">
        <v>685</v>
      </c>
      <c r="H16" s="511" t="s">
        <v>674</v>
      </c>
      <c r="J16" s="522" t="s">
        <v>695</v>
      </c>
    </row>
    <row r="17" spans="2:10" ht="15.75" x14ac:dyDescent="0.25">
      <c r="H17" s="511" t="s">
        <v>675</v>
      </c>
      <c r="J17" s="522" t="s">
        <v>695</v>
      </c>
    </row>
    <row r="19" spans="2:10" ht="15.75" x14ac:dyDescent="0.25">
      <c r="B19" s="511" t="s">
        <v>583</v>
      </c>
      <c r="D19" s="519" t="s">
        <v>677</v>
      </c>
      <c r="F19" s="519" t="s">
        <v>685</v>
      </c>
      <c r="H19" s="511" t="s">
        <v>674</v>
      </c>
      <c r="J19" s="522" t="s">
        <v>695</v>
      </c>
    </row>
    <row r="20" spans="2:10" ht="15.75" x14ac:dyDescent="0.25">
      <c r="H20" s="511" t="s">
        <v>675</v>
      </c>
      <c r="J20" s="522" t="s">
        <v>695</v>
      </c>
    </row>
    <row r="21" spans="2:10" ht="15.75" thickBot="1" x14ac:dyDescent="0.25">
      <c r="B21" s="524"/>
      <c r="C21" s="524"/>
      <c r="D21" s="524"/>
      <c r="E21" s="524"/>
      <c r="F21" s="524"/>
      <c r="G21" s="524"/>
      <c r="H21" s="524"/>
      <c r="I21" s="524"/>
      <c r="J21" s="524"/>
    </row>
    <row r="22" spans="2:10" x14ac:dyDescent="0.2">
      <c r="B22" s="525"/>
      <c r="C22" s="525"/>
      <c r="D22" s="525"/>
      <c r="E22" s="525"/>
      <c r="F22" s="525"/>
      <c r="G22" s="525"/>
      <c r="H22" s="525"/>
      <c r="I22" s="525"/>
      <c r="J22" s="525"/>
    </row>
    <row r="23" spans="2:10" ht="15.75" x14ac:dyDescent="0.25">
      <c r="B23" s="511" t="s">
        <v>582</v>
      </c>
      <c r="D23" s="520" t="s">
        <v>697</v>
      </c>
      <c r="F23" s="520" t="s">
        <v>678</v>
      </c>
      <c r="H23" s="511" t="s">
        <v>674</v>
      </c>
      <c r="J23" s="522" t="s">
        <v>695</v>
      </c>
    </row>
    <row r="24" spans="2:10" ht="15.75" x14ac:dyDescent="0.25">
      <c r="H24" s="511" t="s">
        <v>675</v>
      </c>
      <c r="J24" s="521" t="s">
        <v>696</v>
      </c>
    </row>
    <row r="26" spans="2:10" ht="15.75" x14ac:dyDescent="0.25">
      <c r="B26" s="511" t="s">
        <v>552</v>
      </c>
      <c r="D26" s="523" t="s">
        <v>685</v>
      </c>
      <c r="F26" s="523" t="s">
        <v>698</v>
      </c>
      <c r="H26" s="511" t="s">
        <v>674</v>
      </c>
      <c r="J26" s="522" t="s">
        <v>695</v>
      </c>
    </row>
    <row r="27" spans="2:10" ht="15.75" x14ac:dyDescent="0.25">
      <c r="H27" s="511" t="s">
        <v>675</v>
      </c>
      <c r="J27" s="521" t="s">
        <v>696</v>
      </c>
    </row>
    <row r="29" spans="2:10" ht="15.75" x14ac:dyDescent="0.25">
      <c r="B29" s="511" t="s">
        <v>379</v>
      </c>
      <c r="D29" s="519" t="s">
        <v>677</v>
      </c>
      <c r="F29" s="520" t="s">
        <v>678</v>
      </c>
      <c r="H29" s="511" t="s">
        <v>674</v>
      </c>
      <c r="J29" s="522" t="s">
        <v>695</v>
      </c>
    </row>
    <row r="30" spans="2:10" ht="15.75" x14ac:dyDescent="0.25">
      <c r="H30" s="511" t="s">
        <v>675</v>
      </c>
      <c r="J30" s="521" t="s">
        <v>696</v>
      </c>
    </row>
    <row r="32" spans="2:10" ht="15.75" x14ac:dyDescent="0.25">
      <c r="B32" s="511" t="s">
        <v>380</v>
      </c>
      <c r="D32" s="519" t="s">
        <v>677</v>
      </c>
      <c r="F32" s="520" t="s">
        <v>678</v>
      </c>
      <c r="H32" s="511" t="s">
        <v>674</v>
      </c>
      <c r="J32" s="522" t="s">
        <v>695</v>
      </c>
    </row>
    <row r="33" spans="2:10" ht="15.75" x14ac:dyDescent="0.25">
      <c r="H33" s="511" t="s">
        <v>675</v>
      </c>
      <c r="J33" s="521" t="s">
        <v>696</v>
      </c>
    </row>
    <row r="35" spans="2:10" ht="15.75" x14ac:dyDescent="0.25">
      <c r="B35" s="511" t="s">
        <v>384</v>
      </c>
      <c r="D35" s="519" t="s">
        <v>677</v>
      </c>
      <c r="F35" s="520" t="s">
        <v>678</v>
      </c>
      <c r="H35" s="511" t="s">
        <v>674</v>
      </c>
      <c r="J35" s="522" t="s">
        <v>695</v>
      </c>
    </row>
    <row r="36" spans="2:10" ht="15.75" x14ac:dyDescent="0.25">
      <c r="H36" s="511" t="s">
        <v>675</v>
      </c>
      <c r="J36" s="521" t="s">
        <v>696</v>
      </c>
    </row>
    <row r="38" spans="2:10" ht="15.75" x14ac:dyDescent="0.25">
      <c r="B38" s="511" t="s">
        <v>418</v>
      </c>
      <c r="D38" s="519" t="s">
        <v>677</v>
      </c>
      <c r="F38" s="520" t="s">
        <v>678</v>
      </c>
      <c r="H38" s="511" t="s">
        <v>674</v>
      </c>
      <c r="J38" s="522" t="s">
        <v>695</v>
      </c>
    </row>
    <row r="39" spans="2:10" ht="15.75" x14ac:dyDescent="0.25">
      <c r="H39" s="511" t="s">
        <v>675</v>
      </c>
      <c r="J39" s="521" t="s">
        <v>696</v>
      </c>
    </row>
    <row r="41" spans="2:10" ht="15.75" x14ac:dyDescent="0.25">
      <c r="B41" s="511" t="s">
        <v>496</v>
      </c>
      <c r="D41" s="519" t="s">
        <v>677</v>
      </c>
      <c r="F41" s="520" t="s">
        <v>678</v>
      </c>
      <c r="H41" s="511" t="s">
        <v>674</v>
      </c>
      <c r="J41" s="522" t="s">
        <v>695</v>
      </c>
    </row>
    <row r="42" spans="2:10" ht="15.75" x14ac:dyDescent="0.25">
      <c r="H42" s="511" t="s">
        <v>675</v>
      </c>
      <c r="J42" s="521" t="s">
        <v>696</v>
      </c>
    </row>
    <row r="44" spans="2:10" ht="15.75" x14ac:dyDescent="0.25">
      <c r="B44" s="511" t="s">
        <v>519</v>
      </c>
      <c r="D44" s="519" t="s">
        <v>677</v>
      </c>
      <c r="F44" s="520" t="s">
        <v>678</v>
      </c>
      <c r="H44" s="511" t="s">
        <v>674</v>
      </c>
      <c r="J44" s="522" t="s">
        <v>695</v>
      </c>
    </row>
    <row r="45" spans="2:10" ht="15.75" x14ac:dyDescent="0.25">
      <c r="H45" s="511" t="s">
        <v>675</v>
      </c>
      <c r="J45" s="521" t="s">
        <v>696</v>
      </c>
    </row>
    <row r="47" spans="2:10" ht="15.75" x14ac:dyDescent="0.25">
      <c r="B47" s="511" t="s">
        <v>577</v>
      </c>
      <c r="D47" s="519" t="s">
        <v>677</v>
      </c>
      <c r="F47" s="520" t="s">
        <v>678</v>
      </c>
      <c r="H47" s="511" t="s">
        <v>674</v>
      </c>
      <c r="J47" s="522" t="s">
        <v>695</v>
      </c>
    </row>
    <row r="48" spans="2:10" ht="15.75" x14ac:dyDescent="0.25">
      <c r="H48" s="511" t="s">
        <v>675</v>
      </c>
      <c r="J48" s="521" t="s">
        <v>696</v>
      </c>
    </row>
    <row r="50" spans="2:10" ht="15.75" x14ac:dyDescent="0.25">
      <c r="B50" s="511" t="s">
        <v>612</v>
      </c>
      <c r="D50" s="519" t="s">
        <v>677</v>
      </c>
      <c r="F50" s="520" t="s">
        <v>678</v>
      </c>
      <c r="H50" s="511" t="s">
        <v>674</v>
      </c>
      <c r="J50" s="522" t="s">
        <v>695</v>
      </c>
    </row>
    <row r="51" spans="2:10" ht="15.75" x14ac:dyDescent="0.25">
      <c r="H51" s="511" t="s">
        <v>675</v>
      </c>
      <c r="J51" s="521" t="s">
        <v>696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92</vt:i4>
      </vt:variant>
      <vt:variant>
        <vt:lpstr>Named Ranges</vt:lpstr>
      </vt:variant>
      <vt:variant>
        <vt:i4>25</vt:i4>
      </vt:variant>
    </vt:vector>
  </HeadingPairs>
  <TitlesOfParts>
    <vt:vector size="117" baseType="lpstr">
      <vt:lpstr>CIRS Table IDs</vt:lpstr>
      <vt:lpstr>CIRS Triggers</vt:lpstr>
      <vt:lpstr>CIRS EM Test Results</vt:lpstr>
      <vt:lpstr>Compare</vt:lpstr>
      <vt:lpstr>Deep Space Cals</vt:lpstr>
      <vt:lpstr>DSCAL Trigger Edits</vt:lpstr>
      <vt:lpstr>CIRS DSCAL Info</vt:lpstr>
      <vt:lpstr>RWA Data</vt:lpstr>
      <vt:lpstr>Saturn</vt:lpstr>
      <vt:lpstr>Icy Satellites</vt:lpstr>
      <vt:lpstr>Icy Trigger Edits</vt:lpstr>
      <vt:lpstr>Titan</vt:lpstr>
      <vt:lpstr>Titan Data</vt:lpstr>
      <vt:lpstr>Titan Trigger Edits</vt:lpstr>
      <vt:lpstr>Rings</vt:lpstr>
      <vt:lpstr>Rings Trigger Edits</vt:lpstr>
      <vt:lpstr>Table 600</vt:lpstr>
      <vt:lpstr>Table 601</vt:lpstr>
      <vt:lpstr>Table 602</vt:lpstr>
      <vt:lpstr>Table 603</vt:lpstr>
      <vt:lpstr>Table 604</vt:lpstr>
      <vt:lpstr>Table 605</vt:lpstr>
      <vt:lpstr>Table 606</vt:lpstr>
      <vt:lpstr>Table 607</vt:lpstr>
      <vt:lpstr>Table 752</vt:lpstr>
      <vt:lpstr>Table 754</vt:lpstr>
      <vt:lpstr>Table 758</vt:lpstr>
      <vt:lpstr>Table 759</vt:lpstr>
      <vt:lpstr>Table 760</vt:lpstr>
      <vt:lpstr>Table 761</vt:lpstr>
      <vt:lpstr>Table 762</vt:lpstr>
      <vt:lpstr>Table 776</vt:lpstr>
      <vt:lpstr>Table 778</vt:lpstr>
      <vt:lpstr>Table 781</vt:lpstr>
      <vt:lpstr>Table 783</vt:lpstr>
      <vt:lpstr>Table 784</vt:lpstr>
      <vt:lpstr>Table 785</vt:lpstr>
      <vt:lpstr>Table 788</vt:lpstr>
      <vt:lpstr>Table 790</vt:lpstr>
      <vt:lpstr>Table 791</vt:lpstr>
      <vt:lpstr>Table 792</vt:lpstr>
      <vt:lpstr>Table 793</vt:lpstr>
      <vt:lpstr>Table 807</vt:lpstr>
      <vt:lpstr>Table 809</vt:lpstr>
      <vt:lpstr>Table 820</vt:lpstr>
      <vt:lpstr>Table 824</vt:lpstr>
      <vt:lpstr>Table 826</vt:lpstr>
      <vt:lpstr>Table 827</vt:lpstr>
      <vt:lpstr>Table 829</vt:lpstr>
      <vt:lpstr>Table 830</vt:lpstr>
      <vt:lpstr>Table 831</vt:lpstr>
      <vt:lpstr>Table 832</vt:lpstr>
      <vt:lpstr>Table 834</vt:lpstr>
      <vt:lpstr>Table 837</vt:lpstr>
      <vt:lpstr>Table 838</vt:lpstr>
      <vt:lpstr>Table 839</vt:lpstr>
      <vt:lpstr>Table 846</vt:lpstr>
      <vt:lpstr>Table 851</vt:lpstr>
      <vt:lpstr>Table 855</vt:lpstr>
      <vt:lpstr>Table 859</vt:lpstr>
      <vt:lpstr>Table 861</vt:lpstr>
      <vt:lpstr>Table 862</vt:lpstr>
      <vt:lpstr>Table 867</vt:lpstr>
      <vt:lpstr>Table 872</vt:lpstr>
      <vt:lpstr>Table 876</vt:lpstr>
      <vt:lpstr>Table 880</vt:lpstr>
      <vt:lpstr>Table 883</vt:lpstr>
      <vt:lpstr>Table 886</vt:lpstr>
      <vt:lpstr>Table 891</vt:lpstr>
      <vt:lpstr>Table 894</vt:lpstr>
      <vt:lpstr>Table 901</vt:lpstr>
      <vt:lpstr>Table 903</vt:lpstr>
      <vt:lpstr>Table 905</vt:lpstr>
      <vt:lpstr>Table 906</vt:lpstr>
      <vt:lpstr>Table 908</vt:lpstr>
      <vt:lpstr>Table 910</vt:lpstr>
      <vt:lpstr>Table 913</vt:lpstr>
      <vt:lpstr>Table 914</vt:lpstr>
      <vt:lpstr>Table 915</vt:lpstr>
      <vt:lpstr>Table 916</vt:lpstr>
      <vt:lpstr>Table 917</vt:lpstr>
      <vt:lpstr>Table 919</vt:lpstr>
      <vt:lpstr>Table 926</vt:lpstr>
      <vt:lpstr>Table 927</vt:lpstr>
      <vt:lpstr>Table 929</vt:lpstr>
      <vt:lpstr>Table 940</vt:lpstr>
      <vt:lpstr>Table 941</vt:lpstr>
      <vt:lpstr>Table 950</vt:lpstr>
      <vt:lpstr>SSR Load Size</vt:lpstr>
      <vt:lpstr>CIRS SASF Compare</vt:lpstr>
      <vt:lpstr>CIRS Table Info</vt:lpstr>
      <vt:lpstr>No-data table edits</vt:lpstr>
      <vt:lpstr>BuiltIn_Print_Titles</vt:lpstr>
      <vt:lpstr>BuiltIn_Print_Titles___0</vt:lpstr>
      <vt:lpstr>CIMS_CIRS_2003_10_03___8___0</vt:lpstr>
      <vt:lpstr>CIMS_CIRS_2003_10_03_1___8___0</vt:lpstr>
      <vt:lpstr>CIMS_CIRS_2003_10_03_2___8___0</vt:lpstr>
      <vt:lpstr>CIMS_CIRS_2003_10_03_3___8___0</vt:lpstr>
      <vt:lpstr>CIMS_CIRS_2003_10_03_4___8___0</vt:lpstr>
      <vt:lpstr>CIMS_CIRS_2003_10_03_5</vt:lpstr>
      <vt:lpstr>CIMS_CIRS_2003_10_03_5___0</vt:lpstr>
      <vt:lpstr>CIMS_CIRS_2003_10_03_5___8___0</vt:lpstr>
      <vt:lpstr>CIMS_CIRS_2003_10_03_6</vt:lpstr>
      <vt:lpstr>CIMS_CIRS_2003_10_03_6___8___0</vt:lpstr>
      <vt:lpstr>'CIRS Table IDs'!CIMS_CIRS_2003_10_03_7</vt:lpstr>
      <vt:lpstr>CIMS_CIRS_2003_11_02___8___0</vt:lpstr>
      <vt:lpstr>CIMS_CIRS_2003_11_02_1___8___0</vt:lpstr>
      <vt:lpstr>CIMS_CIRS_2003_11_02_2___8___0</vt:lpstr>
      <vt:lpstr>CIMS_CIRS_2003_11_02_3___8___0</vt:lpstr>
      <vt:lpstr>CIMS_CIRS_2003_11_02_4</vt:lpstr>
      <vt:lpstr>CIMS_CIRS_2003_11_02_4___0</vt:lpstr>
      <vt:lpstr>CIMS_CIRS_2003_11_02_4___8___0</vt:lpstr>
      <vt:lpstr>CIMS_CIRS_2003_11_02_5</vt:lpstr>
      <vt:lpstr>CIMS_CIRS_2003_11_02_5___8___0</vt:lpstr>
      <vt:lpstr>'CIRS Table IDs'!CIMS_CIRS_2003_11_02_6</vt:lpstr>
      <vt:lpstr>'CIRS Table Info'!Print_Titles</vt:lpstr>
      <vt:lpstr>'RWA Data'!S97_SIP_Port3_rwa_summary_160927_144247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A. Albright</dc:creator>
  <cp:lastModifiedBy>salbrigh</cp:lastModifiedBy>
  <dcterms:created xsi:type="dcterms:W3CDTF">2010-10-01T16:34:44Z</dcterms:created>
  <dcterms:modified xsi:type="dcterms:W3CDTF">2016-10-20T13:25:44Z</dcterms:modified>
</cp:coreProperties>
</file>